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8475" windowHeight="6150" tabRatio="595" firstSheet="1" activeTab="6"/>
  </bookViews>
  <sheets>
    <sheet name="หมายเหตุ" sheetId="2" r:id="rId1"/>
    <sheet name="รายรับจริงประกอบงบทดลอง" sheetId="8" r:id="rId2"/>
    <sheet name="รับ - จ่าย (2)" sheetId="20" r:id="rId3"/>
    <sheet name="รายงานกระแสเงินสด" sheetId="7" r:id="rId4"/>
    <sheet name="กระดาษทำการโอนงบ" sheetId="10" r:id="rId5"/>
    <sheet name="ประกอบงบใหม่" sheetId="16" r:id="rId6"/>
    <sheet name="รายจ่ายค้างจ่าย" sheetId="11" r:id="rId7"/>
    <sheet name="เฉพาะกิจ" sheetId="14" r:id="rId8"/>
    <sheet name="หมายเหตุ5" sheetId="13" r:id="rId9"/>
    <sheet name="กระดาษทำการจ่ายจากเงินสะสม" sheetId="12" r:id="rId10"/>
    <sheet name="กระดาษทำการ" sheetId="4" r:id="rId11"/>
    <sheet name="กระทบยอด" sheetId="5" r:id="rId12"/>
    <sheet name="กระดาษคงเหลือ" sheetId="15" r:id="rId13"/>
    <sheet name="เงินรับฝาก" sheetId="18" r:id="rId14"/>
    <sheet name="หลังปิด" sheetId="19" r:id="rId15"/>
    <sheet name="ก่อนปิด" sheetId="22" r:id="rId16"/>
  </sheets>
  <calcPr calcId="125725"/>
</workbook>
</file>

<file path=xl/calcChain.xml><?xml version="1.0" encoding="utf-8"?>
<calcChain xmlns="http://schemas.openxmlformats.org/spreadsheetml/2006/main">
  <c r="I47" i="20"/>
  <c r="J52"/>
  <c r="I52"/>
  <c r="K52"/>
  <c r="I45"/>
  <c r="K43"/>
  <c r="K44"/>
  <c r="K45"/>
  <c r="K46"/>
  <c r="K47"/>
  <c r="K48"/>
  <c r="K49"/>
  <c r="K50"/>
  <c r="K51"/>
  <c r="K42"/>
  <c r="I46"/>
  <c r="I49"/>
  <c r="I50"/>
  <c r="I48"/>
  <c r="I44"/>
  <c r="D22" i="5"/>
  <c r="C25" i="18"/>
  <c r="G24"/>
  <c r="C19"/>
  <c r="D78" i="22"/>
  <c r="E22"/>
  <c r="E21"/>
  <c r="E20"/>
  <c r="E78"/>
  <c r="D27" i="19"/>
  <c r="E22"/>
  <c r="E21"/>
  <c r="E20"/>
  <c r="E27"/>
  <c r="E10" i="2"/>
  <c r="C10"/>
  <c r="D22" i="20"/>
  <c r="G22"/>
  <c r="D62"/>
  <c r="G62"/>
  <c r="D5" i="5"/>
  <c r="G6"/>
  <c r="A44" i="20"/>
  <c r="C9" i="13"/>
  <c r="C7"/>
  <c r="B9"/>
  <c r="D20" i="14"/>
  <c r="I20"/>
  <c r="I17"/>
  <c r="C29" i="7"/>
  <c r="E29"/>
  <c r="E16"/>
  <c r="C16"/>
  <c r="D56" i="20"/>
  <c r="D55"/>
  <c r="D54"/>
  <c r="D53"/>
  <c r="D51"/>
  <c r="D48"/>
  <c r="D47"/>
  <c r="D46"/>
  <c r="D45"/>
  <c r="D44"/>
  <c r="D43"/>
  <c r="D42"/>
  <c r="D25"/>
  <c r="D24"/>
  <c r="D23"/>
  <c r="D20"/>
  <c r="D19"/>
  <c r="D18"/>
  <c r="D16"/>
  <c r="D15"/>
  <c r="D14"/>
  <c r="D13"/>
  <c r="D21"/>
  <c r="G23"/>
  <c r="G32"/>
  <c r="G31"/>
  <c r="G25"/>
  <c r="G24"/>
  <c r="G13"/>
  <c r="G53"/>
  <c r="G64"/>
  <c r="G65"/>
  <c r="G47"/>
  <c r="G46"/>
  <c r="G44"/>
  <c r="G42"/>
  <c r="J74"/>
  <c r="G52"/>
  <c r="E10" i="11"/>
  <c r="E12"/>
  <c r="E14"/>
  <c r="E16"/>
  <c r="E17"/>
  <c r="E18"/>
  <c r="E20"/>
  <c r="E8"/>
  <c r="C22" i="16"/>
  <c r="C26"/>
  <c r="C30"/>
  <c r="C23"/>
  <c r="E40" i="2"/>
  <c r="E39"/>
  <c r="E38"/>
  <c r="C13"/>
  <c r="D13"/>
  <c r="E12"/>
  <c r="E11"/>
  <c r="E9"/>
  <c r="E8"/>
  <c r="E6"/>
  <c r="E13"/>
  <c r="E118" i="8"/>
  <c r="E117"/>
  <c r="E116"/>
  <c r="E122"/>
  <c r="E107"/>
  <c r="E94"/>
  <c r="E93"/>
  <c r="E115"/>
  <c r="E84"/>
  <c r="E86"/>
  <c r="E79"/>
  <c r="E81"/>
  <c r="E75"/>
  <c r="E76"/>
  <c r="E53"/>
  <c r="E62"/>
  <c r="E58"/>
  <c r="E48"/>
  <c r="E29"/>
  <c r="E19"/>
  <c r="E26"/>
  <c r="A42" i="20"/>
  <c r="M14" i="10"/>
  <c r="C38" i="2"/>
  <c r="C40"/>
  <c r="A49" i="20"/>
  <c r="C6" i="13"/>
  <c r="C20" i="14"/>
  <c r="B8"/>
  <c r="D59" i="20"/>
  <c r="D29"/>
  <c r="D28"/>
  <c r="D58"/>
  <c r="C51"/>
  <c r="D50"/>
  <c r="C50"/>
  <c r="D49"/>
  <c r="C49"/>
  <c r="C48"/>
  <c r="C47"/>
  <c r="C46"/>
  <c r="A45"/>
  <c r="C45"/>
  <c r="C52"/>
  <c r="C44"/>
  <c r="C43"/>
  <c r="C42"/>
  <c r="A52"/>
  <c r="D27"/>
  <c r="A21"/>
  <c r="C20"/>
  <c r="C19"/>
  <c r="C18"/>
  <c r="C17"/>
  <c r="C16"/>
  <c r="C15"/>
  <c r="C14"/>
  <c r="C13"/>
  <c r="C12"/>
  <c r="C21"/>
  <c r="E77" i="8"/>
  <c r="E120"/>
  <c r="E103"/>
  <c r="E102"/>
  <c r="E98"/>
  <c r="E82"/>
  <c r="E44"/>
  <c r="E32"/>
  <c r="E11"/>
  <c r="E121"/>
  <c r="E101"/>
  <c r="E100"/>
  <c r="E97"/>
  <c r="E96"/>
  <c r="E95"/>
  <c r="E92"/>
  <c r="K44" i="15"/>
  <c r="K68"/>
  <c r="P73"/>
  <c r="J36"/>
  <c r="K70"/>
  <c r="J40"/>
  <c r="J23"/>
  <c r="D47"/>
  <c r="D66"/>
  <c r="D23"/>
  <c r="C47"/>
  <c r="E46"/>
  <c r="P14" i="10"/>
  <c r="K14"/>
  <c r="J14"/>
  <c r="F14"/>
  <c r="C14"/>
  <c r="R15"/>
  <c r="D14"/>
  <c r="C101" i="15"/>
  <c r="M84"/>
  <c r="C84"/>
  <c r="C83"/>
  <c r="C82"/>
  <c r="C81"/>
  <c r="P80"/>
  <c r="M80"/>
  <c r="C80"/>
  <c r="P70"/>
  <c r="L72"/>
  <c r="K72"/>
  <c r="G72"/>
  <c r="F72"/>
  <c r="C72"/>
  <c r="M69"/>
  <c r="C67"/>
  <c r="M64"/>
  <c r="N47"/>
  <c r="M47"/>
  <c r="L47"/>
  <c r="I47"/>
  <c r="G47"/>
  <c r="C45"/>
  <c r="P46"/>
  <c r="M46"/>
  <c r="F46"/>
  <c r="C46"/>
  <c r="P44"/>
  <c r="M44"/>
  <c r="D44"/>
  <c r="C44"/>
  <c r="D41"/>
  <c r="C41"/>
  <c r="M37"/>
  <c r="J37"/>
  <c r="D37"/>
  <c r="C37"/>
  <c r="M36"/>
  <c r="D36"/>
  <c r="C36"/>
  <c r="C34"/>
  <c r="J25"/>
  <c r="D25"/>
  <c r="C25"/>
  <c r="C24"/>
  <c r="M23"/>
  <c r="C23"/>
  <c r="C22"/>
  <c r="C21"/>
  <c r="C20"/>
  <c r="C19"/>
  <c r="C18"/>
  <c r="B12"/>
  <c r="B11"/>
  <c r="B9"/>
  <c r="C87" i="4"/>
  <c r="Q75"/>
  <c r="M75"/>
  <c r="C75"/>
  <c r="Q68"/>
  <c r="M68"/>
  <c r="L68"/>
  <c r="K68"/>
  <c r="G68"/>
  <c r="C68"/>
  <c r="Q50"/>
  <c r="N50"/>
  <c r="M50"/>
  <c r="L50"/>
  <c r="K50"/>
  <c r="I50"/>
  <c r="G50"/>
  <c r="D50"/>
  <c r="C50"/>
  <c r="D44"/>
  <c r="C44"/>
  <c r="M38"/>
  <c r="J38"/>
  <c r="D38"/>
  <c r="C38"/>
  <c r="C34"/>
  <c r="M27"/>
  <c r="M92"/>
  <c r="J27"/>
  <c r="J92"/>
  <c r="D27"/>
  <c r="D92"/>
  <c r="C27"/>
  <c r="C92"/>
  <c r="B17"/>
  <c r="B92"/>
  <c r="C48"/>
  <c r="I48"/>
  <c r="C10" i="13"/>
  <c r="L71" i="15"/>
  <c r="G44"/>
  <c r="G46"/>
  <c r="G73"/>
  <c r="B10"/>
  <c r="H47"/>
  <c r="M101"/>
  <c r="G71"/>
  <c r="M68"/>
  <c r="C68"/>
  <c r="M67"/>
  <c r="O47"/>
  <c r="F47"/>
  <c r="D42"/>
  <c r="C42"/>
  <c r="J39"/>
  <c r="O50" i="4"/>
  <c r="J44"/>
  <c r="C11" i="13"/>
  <c r="O23" i="14"/>
  <c r="O22"/>
  <c r="N26"/>
  <c r="H28"/>
  <c r="E28"/>
  <c r="F28"/>
  <c r="G28"/>
  <c r="H27"/>
  <c r="O21"/>
  <c r="E123" i="8"/>
  <c r="E10"/>
  <c r="C106" i="15"/>
  <c r="C98"/>
  <c r="C66"/>
  <c r="M70"/>
  <c r="F70"/>
  <c r="J47"/>
  <c r="E47"/>
  <c r="L46"/>
  <c r="K46"/>
  <c r="E56" i="8"/>
  <c r="D56"/>
  <c r="E37"/>
  <c r="B14" i="15"/>
  <c r="B15"/>
  <c r="L69"/>
  <c r="B14" i="10"/>
  <c r="J87" i="4"/>
  <c r="M78"/>
  <c r="M94" i="15"/>
  <c r="N77"/>
  <c r="J66"/>
  <c r="C70"/>
  <c r="B7"/>
  <c r="G102" i="5"/>
  <c r="G104"/>
  <c r="D97"/>
  <c r="D63"/>
  <c r="D125" i="8"/>
  <c r="E125"/>
  <c r="J105" i="15"/>
  <c r="C105"/>
  <c r="D98"/>
  <c r="K94"/>
  <c r="P65"/>
  <c r="M66"/>
  <c r="K71"/>
  <c r="D67"/>
  <c r="D46"/>
  <c r="C12" i="13"/>
  <c r="B12"/>
  <c r="O26" i="14"/>
  <c r="O24"/>
  <c r="C28"/>
  <c r="D28"/>
  <c r="I28"/>
  <c r="J28"/>
  <c r="K28"/>
  <c r="L28"/>
  <c r="M28"/>
  <c r="N28"/>
  <c r="E27"/>
  <c r="F27"/>
  <c r="G27"/>
  <c r="J27"/>
  <c r="K27"/>
  <c r="L27"/>
  <c r="M27"/>
  <c r="N25"/>
  <c r="O25"/>
  <c r="B28"/>
  <c r="C107" i="15"/>
  <c r="D45" i="10"/>
  <c r="E45"/>
  <c r="F45"/>
  <c r="G45"/>
  <c r="H45"/>
  <c r="I45"/>
  <c r="J45"/>
  <c r="C45"/>
  <c r="B45"/>
  <c r="P45"/>
  <c r="O45"/>
  <c r="N45"/>
  <c r="M45"/>
  <c r="L45"/>
  <c r="M42" i="15"/>
  <c r="D40"/>
  <c r="C40"/>
  <c r="C39"/>
  <c r="B16" i="4"/>
  <c r="J77"/>
  <c r="I19" i="14"/>
  <c r="B10"/>
  <c r="B7"/>
  <c r="B27"/>
  <c r="O27"/>
  <c r="G98" i="15"/>
  <c r="C74"/>
  <c r="E44"/>
  <c r="B44" i="4"/>
  <c r="R44"/>
  <c r="F27"/>
  <c r="F92"/>
  <c r="R17"/>
  <c r="R79"/>
  <c r="C86"/>
  <c r="D86"/>
  <c r="E86"/>
  <c r="F86"/>
  <c r="H86"/>
  <c r="I86"/>
  <c r="J86"/>
  <c r="K86"/>
  <c r="L86"/>
  <c r="M86"/>
  <c r="N86"/>
  <c r="O86"/>
  <c r="P86"/>
  <c r="Q86"/>
  <c r="B86"/>
  <c r="O18" i="14"/>
  <c r="D19"/>
  <c r="D27"/>
  <c r="C19"/>
  <c r="C27"/>
  <c r="O19"/>
  <c r="J9" i="12"/>
  <c r="J10"/>
  <c r="O10"/>
  <c r="D79" i="15"/>
  <c r="E79"/>
  <c r="F79"/>
  <c r="G79"/>
  <c r="H79"/>
  <c r="I79"/>
  <c r="J79"/>
  <c r="K79"/>
  <c r="M79"/>
  <c r="N79"/>
  <c r="O79"/>
  <c r="P79"/>
  <c r="Q79"/>
  <c r="C79"/>
  <c r="R23"/>
  <c r="C26"/>
  <c r="R95"/>
  <c r="R96"/>
  <c r="R94"/>
  <c r="R81"/>
  <c r="R82"/>
  <c r="R83"/>
  <c r="R84"/>
  <c r="R80"/>
  <c r="B79"/>
  <c r="R78"/>
  <c r="R77"/>
  <c r="R75"/>
  <c r="R74"/>
  <c r="R73"/>
  <c r="R72"/>
  <c r="R71"/>
  <c r="R70"/>
  <c r="R69"/>
  <c r="R68"/>
  <c r="R67"/>
  <c r="R66"/>
  <c r="R65"/>
  <c r="R64"/>
  <c r="L76"/>
  <c r="R76"/>
  <c r="D48"/>
  <c r="E48"/>
  <c r="F48"/>
  <c r="G48"/>
  <c r="H48"/>
  <c r="I48"/>
  <c r="J48"/>
  <c r="K48"/>
  <c r="L48"/>
  <c r="M48"/>
  <c r="N48"/>
  <c r="O48"/>
  <c r="P48"/>
  <c r="Q48"/>
  <c r="C48"/>
  <c r="R47"/>
  <c r="R45"/>
  <c r="R44"/>
  <c r="R46"/>
  <c r="D43"/>
  <c r="E43"/>
  <c r="F43"/>
  <c r="G43"/>
  <c r="H43"/>
  <c r="I43"/>
  <c r="J43"/>
  <c r="K43"/>
  <c r="L43"/>
  <c r="M43"/>
  <c r="N43"/>
  <c r="O43"/>
  <c r="P43"/>
  <c r="Q43"/>
  <c r="C43"/>
  <c r="R43"/>
  <c r="R41"/>
  <c r="R39"/>
  <c r="C38"/>
  <c r="D38"/>
  <c r="E38"/>
  <c r="F38"/>
  <c r="G38"/>
  <c r="H38"/>
  <c r="I38"/>
  <c r="J38"/>
  <c r="K38"/>
  <c r="L38"/>
  <c r="M38"/>
  <c r="N38"/>
  <c r="O38"/>
  <c r="P38"/>
  <c r="Q38"/>
  <c r="R36"/>
  <c r="R37"/>
  <c r="R34"/>
  <c r="C35"/>
  <c r="D26"/>
  <c r="E26"/>
  <c r="F26"/>
  <c r="G26"/>
  <c r="H26"/>
  <c r="I26"/>
  <c r="J26"/>
  <c r="K26"/>
  <c r="L26"/>
  <c r="M26"/>
  <c r="N26"/>
  <c r="O26"/>
  <c r="P26"/>
  <c r="Q26"/>
  <c r="R25"/>
  <c r="R24"/>
  <c r="B16"/>
  <c r="D74" i="4"/>
  <c r="E74"/>
  <c r="F74"/>
  <c r="G74"/>
  <c r="H74"/>
  <c r="I74"/>
  <c r="J74"/>
  <c r="K74"/>
  <c r="L74"/>
  <c r="M74"/>
  <c r="N74"/>
  <c r="O74"/>
  <c r="P74"/>
  <c r="Q74"/>
  <c r="C74"/>
  <c r="R74"/>
  <c r="D67"/>
  <c r="E67"/>
  <c r="F67"/>
  <c r="G67"/>
  <c r="H67"/>
  <c r="I67"/>
  <c r="J67"/>
  <c r="K67"/>
  <c r="L67"/>
  <c r="M67"/>
  <c r="N67"/>
  <c r="O67"/>
  <c r="P67"/>
  <c r="Q67"/>
  <c r="C67"/>
  <c r="R67"/>
  <c r="R66"/>
  <c r="D49"/>
  <c r="E49"/>
  <c r="F49"/>
  <c r="G49"/>
  <c r="H49"/>
  <c r="I49"/>
  <c r="J49"/>
  <c r="K49"/>
  <c r="L49"/>
  <c r="M49"/>
  <c r="N49"/>
  <c r="O49"/>
  <c r="P49"/>
  <c r="Q49"/>
  <c r="C49"/>
  <c r="R49"/>
  <c r="R46"/>
  <c r="R47"/>
  <c r="R48"/>
  <c r="R45"/>
  <c r="C37"/>
  <c r="R8"/>
  <c r="R9"/>
  <c r="R10"/>
  <c r="R11"/>
  <c r="R12"/>
  <c r="R13"/>
  <c r="R14"/>
  <c r="R15"/>
  <c r="D43"/>
  <c r="J43"/>
  <c r="C43"/>
  <c r="M37"/>
  <c r="J37"/>
  <c r="D37"/>
  <c r="C33"/>
  <c r="M26"/>
  <c r="J26"/>
  <c r="D26"/>
  <c r="C26"/>
  <c r="O9" i="14"/>
  <c r="O10"/>
  <c r="O11"/>
  <c r="G12" i="18"/>
  <c r="C12"/>
  <c r="C13" i="16"/>
  <c r="E109" i="8"/>
  <c r="D109"/>
  <c r="D87"/>
  <c r="D63"/>
  <c r="D59"/>
  <c r="D51"/>
  <c r="D12"/>
  <c r="E87"/>
  <c r="E63"/>
  <c r="E59"/>
  <c r="E12"/>
  <c r="R16" i="15"/>
  <c r="C89" i="4"/>
  <c r="C90"/>
  <c r="D89"/>
  <c r="D90"/>
  <c r="E89"/>
  <c r="E90"/>
  <c r="F89"/>
  <c r="F90"/>
  <c r="G89"/>
  <c r="G90"/>
  <c r="H89"/>
  <c r="H90"/>
  <c r="I89"/>
  <c r="I90"/>
  <c r="J89"/>
  <c r="J90"/>
  <c r="K89"/>
  <c r="K90"/>
  <c r="L89"/>
  <c r="L90"/>
  <c r="M89"/>
  <c r="M90"/>
  <c r="N89"/>
  <c r="N90"/>
  <c r="O89"/>
  <c r="O90"/>
  <c r="P89"/>
  <c r="P90"/>
  <c r="Q89"/>
  <c r="Q90"/>
  <c r="B89"/>
  <c r="B90"/>
  <c r="R90"/>
  <c r="P87"/>
  <c r="B87"/>
  <c r="D78"/>
  <c r="E78"/>
  <c r="F78"/>
  <c r="H78"/>
  <c r="L78"/>
  <c r="N78"/>
  <c r="O78"/>
  <c r="P78"/>
  <c r="Q78"/>
  <c r="B78"/>
  <c r="B75"/>
  <c r="R75"/>
  <c r="B68"/>
  <c r="R68"/>
  <c r="B50"/>
  <c r="R50"/>
  <c r="F38"/>
  <c r="P38"/>
  <c r="B38"/>
  <c r="B34"/>
  <c r="P27"/>
  <c r="P92"/>
  <c r="B27"/>
  <c r="I13" i="14"/>
  <c r="D41" i="2"/>
  <c r="E41"/>
  <c r="R7" i="15"/>
  <c r="R8"/>
  <c r="R10"/>
  <c r="R11"/>
  <c r="R12"/>
  <c r="R13"/>
  <c r="R14"/>
  <c r="R15"/>
  <c r="C17"/>
  <c r="D17"/>
  <c r="E17"/>
  <c r="E111"/>
  <c r="F17"/>
  <c r="F111"/>
  <c r="G17"/>
  <c r="H17"/>
  <c r="H111"/>
  <c r="I17"/>
  <c r="J17"/>
  <c r="K17"/>
  <c r="L17"/>
  <c r="M17"/>
  <c r="N17"/>
  <c r="N111"/>
  <c r="O17"/>
  <c r="O111"/>
  <c r="P17"/>
  <c r="Q17"/>
  <c r="Q111"/>
  <c r="R18"/>
  <c r="R19"/>
  <c r="R20"/>
  <c r="R21"/>
  <c r="R22"/>
  <c r="D35"/>
  <c r="E35"/>
  <c r="F35"/>
  <c r="G35"/>
  <c r="H35"/>
  <c r="I35"/>
  <c r="J35"/>
  <c r="K35"/>
  <c r="L35"/>
  <c r="M35"/>
  <c r="N35"/>
  <c r="O35"/>
  <c r="P35"/>
  <c r="Q35"/>
  <c r="R40"/>
  <c r="R42"/>
  <c r="C85"/>
  <c r="D85"/>
  <c r="E85"/>
  <c r="F85"/>
  <c r="G85"/>
  <c r="H85"/>
  <c r="I85"/>
  <c r="J85"/>
  <c r="K85"/>
  <c r="L85"/>
  <c r="M85"/>
  <c r="N85"/>
  <c r="O85"/>
  <c r="P85"/>
  <c r="Q85"/>
  <c r="C97"/>
  <c r="F97"/>
  <c r="G97"/>
  <c r="H97"/>
  <c r="I97"/>
  <c r="J97"/>
  <c r="K97"/>
  <c r="M97"/>
  <c r="N97"/>
  <c r="O97"/>
  <c r="R97"/>
  <c r="P97"/>
  <c r="Q97"/>
  <c r="R98"/>
  <c r="R99"/>
  <c r="R100"/>
  <c r="R101"/>
  <c r="R102"/>
  <c r="R103"/>
  <c r="R104"/>
  <c r="R105"/>
  <c r="D107"/>
  <c r="E107"/>
  <c r="F107"/>
  <c r="G107"/>
  <c r="I107"/>
  <c r="I111"/>
  <c r="J107"/>
  <c r="K107"/>
  <c r="L107"/>
  <c r="M107"/>
  <c r="N107"/>
  <c r="O107"/>
  <c r="P107"/>
  <c r="Q107"/>
  <c r="R108"/>
  <c r="R109"/>
  <c r="C110"/>
  <c r="R110"/>
  <c r="D110"/>
  <c r="D111"/>
  <c r="F110"/>
  <c r="G110"/>
  <c r="H110"/>
  <c r="I110"/>
  <c r="J110"/>
  <c r="J111"/>
  <c r="K110"/>
  <c r="M110"/>
  <c r="N110"/>
  <c r="O110"/>
  <c r="P110"/>
  <c r="Q110"/>
  <c r="R7" i="4"/>
  <c r="R18"/>
  <c r="R19"/>
  <c r="R20"/>
  <c r="R21"/>
  <c r="R22"/>
  <c r="R23"/>
  <c r="R24"/>
  <c r="R25"/>
  <c r="E26"/>
  <c r="E27"/>
  <c r="E92"/>
  <c r="G26"/>
  <c r="G27"/>
  <c r="G92"/>
  <c r="H26"/>
  <c r="H27"/>
  <c r="H92"/>
  <c r="I26"/>
  <c r="I27"/>
  <c r="I92"/>
  <c r="K26"/>
  <c r="K27"/>
  <c r="K92"/>
  <c r="L26"/>
  <c r="L27"/>
  <c r="L92"/>
  <c r="N26"/>
  <c r="N27"/>
  <c r="O26"/>
  <c r="Q26"/>
  <c r="Q27"/>
  <c r="R32"/>
  <c r="D33"/>
  <c r="D34"/>
  <c r="E33"/>
  <c r="E34"/>
  <c r="F33"/>
  <c r="F91"/>
  <c r="F34"/>
  <c r="G33"/>
  <c r="G34"/>
  <c r="H33"/>
  <c r="H34"/>
  <c r="I33"/>
  <c r="I34"/>
  <c r="J33"/>
  <c r="J91"/>
  <c r="J34"/>
  <c r="K33"/>
  <c r="K34"/>
  <c r="L33"/>
  <c r="L34"/>
  <c r="M33"/>
  <c r="M34"/>
  <c r="N33"/>
  <c r="N34"/>
  <c r="O33"/>
  <c r="O34"/>
  <c r="P33"/>
  <c r="P91"/>
  <c r="Q33"/>
  <c r="Q34"/>
  <c r="R33"/>
  <c r="R35"/>
  <c r="R36"/>
  <c r="E37"/>
  <c r="E38"/>
  <c r="G37"/>
  <c r="G38"/>
  <c r="H37"/>
  <c r="H38"/>
  <c r="I37"/>
  <c r="I38"/>
  <c r="K37"/>
  <c r="K38"/>
  <c r="L37"/>
  <c r="L38"/>
  <c r="N37"/>
  <c r="N38"/>
  <c r="O37"/>
  <c r="O38"/>
  <c r="Q37"/>
  <c r="Q38"/>
  <c r="R39"/>
  <c r="R40"/>
  <c r="R41"/>
  <c r="R42"/>
  <c r="E43"/>
  <c r="G43"/>
  <c r="H43"/>
  <c r="I43"/>
  <c r="K43"/>
  <c r="L43"/>
  <c r="M43"/>
  <c r="N43"/>
  <c r="N91"/>
  <c r="O43"/>
  <c r="O91"/>
  <c r="Q43"/>
  <c r="R43"/>
  <c r="R51"/>
  <c r="R52"/>
  <c r="R53"/>
  <c r="R59"/>
  <c r="R60"/>
  <c r="R61"/>
  <c r="R62"/>
  <c r="R63"/>
  <c r="R64"/>
  <c r="R65"/>
  <c r="R69"/>
  <c r="R70"/>
  <c r="R71"/>
  <c r="R72"/>
  <c r="R73"/>
  <c r="R76"/>
  <c r="C77"/>
  <c r="C78"/>
  <c r="G77"/>
  <c r="I77"/>
  <c r="R77"/>
  <c r="K77"/>
  <c r="M77"/>
  <c r="R80"/>
  <c r="R81"/>
  <c r="E87"/>
  <c r="F87"/>
  <c r="H87"/>
  <c r="I87"/>
  <c r="K87"/>
  <c r="L87"/>
  <c r="N87"/>
  <c r="O87"/>
  <c r="Q87"/>
  <c r="R88"/>
  <c r="R89"/>
  <c r="O7" i="12"/>
  <c r="O8"/>
  <c r="O9"/>
  <c r="O37"/>
  <c r="C38"/>
  <c r="D38"/>
  <c r="J38"/>
  <c r="K38"/>
  <c r="O38"/>
  <c r="O39"/>
  <c r="O6" i="14"/>
  <c r="O7"/>
  <c r="O12"/>
  <c r="O13"/>
  <c r="O15"/>
  <c r="O17"/>
  <c r="O16"/>
  <c r="B21" i="11"/>
  <c r="C21"/>
  <c r="B67" i="10"/>
  <c r="C67"/>
  <c r="D67"/>
  <c r="E67"/>
  <c r="F67"/>
  <c r="G67"/>
  <c r="H67"/>
  <c r="I67"/>
  <c r="J67"/>
  <c r="K67"/>
  <c r="L67"/>
  <c r="M67"/>
  <c r="N67"/>
  <c r="O67"/>
  <c r="P67"/>
  <c r="C30" i="7"/>
  <c r="C12" i="8"/>
  <c r="C51"/>
  <c r="C126"/>
  <c r="C56"/>
  <c r="C59"/>
  <c r="C63"/>
  <c r="C66"/>
  <c r="D66"/>
  <c r="E66"/>
  <c r="C87"/>
  <c r="C109"/>
  <c r="C41" i="2"/>
  <c r="E30" i="7"/>
  <c r="D21" i="11"/>
  <c r="E21"/>
  <c r="E51" i="8"/>
  <c r="E126"/>
  <c r="R37" i="4"/>
  <c r="R87"/>
  <c r="O27"/>
  <c r="O92"/>
  <c r="P34"/>
  <c r="R16"/>
  <c r="R26"/>
  <c r="R26" i="15"/>
  <c r="R86" i="4"/>
  <c r="O14" i="14"/>
  <c r="O8"/>
  <c r="O20"/>
  <c r="O28"/>
  <c r="G111" i="15"/>
  <c r="P111"/>
  <c r="R85"/>
  <c r="M111"/>
  <c r="C111"/>
  <c r="R38"/>
  <c r="R35"/>
  <c r="K111"/>
  <c r="I27" i="14"/>
  <c r="N27"/>
  <c r="R78" i="4"/>
  <c r="R107" i="15"/>
  <c r="R48"/>
  <c r="B17"/>
  <c r="R17"/>
  <c r="R9"/>
  <c r="C91" i="4"/>
  <c r="B91"/>
  <c r="M91"/>
  <c r="L91"/>
  <c r="K91"/>
  <c r="I91"/>
  <c r="H91"/>
  <c r="G91"/>
  <c r="E91"/>
  <c r="D91"/>
  <c r="D126" i="8"/>
  <c r="G21" i="20"/>
  <c r="G33"/>
  <c r="G71"/>
  <c r="G74"/>
  <c r="J76"/>
  <c r="D32"/>
  <c r="D33"/>
  <c r="D52"/>
  <c r="D65"/>
  <c r="D64"/>
  <c r="D71"/>
  <c r="D74"/>
  <c r="R38" i="4"/>
  <c r="Q92"/>
  <c r="R27"/>
  <c r="N92"/>
  <c r="R34"/>
  <c r="R91"/>
  <c r="R92"/>
  <c r="Q91"/>
  <c r="L79" i="15"/>
  <c r="R79"/>
  <c r="B111"/>
  <c r="R111"/>
  <c r="L111"/>
</calcChain>
</file>

<file path=xl/sharedStrings.xml><?xml version="1.0" encoding="utf-8"?>
<sst xmlns="http://schemas.openxmlformats.org/spreadsheetml/2006/main" count="1287" uniqueCount="566">
  <si>
    <t>งบทดลอง</t>
  </si>
  <si>
    <t>รหัสบัญชี</t>
  </si>
  <si>
    <t>เดบิต</t>
  </si>
  <si>
    <t>เครดิต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</si>
  <si>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</si>
  <si>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</si>
  <si>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</si>
  <si>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</si>
  <si>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</si>
  <si>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เงินสะสม</t>
  </si>
  <si>
    <t>เงินทุนสำรองเงินสะสม</t>
  </si>
  <si>
    <t xml:space="preserve">เงินรับฝาก </t>
  </si>
  <si>
    <t>รายรับ</t>
  </si>
  <si>
    <t>รายจ่าย</t>
  </si>
  <si>
    <t>เงินคงเหลือ</t>
  </si>
  <si>
    <t>หมายเหตุ</t>
  </si>
  <si>
    <t>จนถึงปัจจุบัน</t>
  </si>
  <si>
    <t>เกิดขึ้นจริง</t>
  </si>
  <si>
    <t>รายการ</t>
  </si>
  <si>
    <t>เดือนนี้</t>
  </si>
  <si>
    <t>รายงานรับ - จ่ายเงินสด</t>
  </si>
  <si>
    <t>ยอดยกมา</t>
  </si>
  <si>
    <t>ภาษีอากร</t>
  </si>
  <si>
    <t>ค่าธรรมเนียม 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</si>
  <si>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</si>
  <si>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</si>
  <si>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</si>
  <si>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รายได้จากทุน</t>
  </si>
  <si>
    <t>ภาษีจัดสรร</t>
  </si>
  <si>
    <t>เงินอุดหนุน</t>
  </si>
  <si>
    <t>รวมรายรับ</t>
  </si>
  <si>
    <t>ค่าครุภัณฑ์</t>
  </si>
  <si>
    <t>ค่าที่ดินและสิ่งก่อสร้าง</t>
  </si>
  <si>
    <t>รวมรายจ่าย</t>
  </si>
  <si>
    <t>สูงกว่า</t>
  </si>
  <si>
    <t>(ต่ำกว่า)</t>
  </si>
  <si>
    <t>ยอดยกไป</t>
  </si>
  <si>
    <t>รายรับ                               รายจ่าย</t>
  </si>
  <si>
    <t>กระดาษทำการกระทบยอด</t>
  </si>
  <si>
    <t>แผนงาน</t>
  </si>
  <si>
    <t>หมวดงาน</t>
  </si>
  <si>
    <t>รวม</t>
  </si>
  <si>
    <t>รวมเดือนนี้</t>
  </si>
  <si>
    <t>รวมตั้งแต่ต้นปี</t>
  </si>
  <si>
    <t>งบกระทบยอดเงินฝากธนาคาร</t>
  </si>
  <si>
    <t>วันที่</t>
  </si>
  <si>
    <t>เลขที่เช็ค</t>
  </si>
  <si>
    <t>จำนวนเงิน</t>
  </si>
  <si>
    <t>ธนาคารเพื่อการเกษตรและสหกรณ์การเกษตร</t>
  </si>
  <si>
    <t>เงินสด</t>
  </si>
  <si>
    <t>ปลัดเทศบาลตำบลชุมพล</t>
  </si>
  <si>
    <t>นายกเทศมนตรีตำบลชุมพล</t>
  </si>
  <si>
    <t>(นางฐิติพร  พ่วงแสง)</t>
  </si>
  <si>
    <t>เทศบาลตำบลชุมพล</t>
  </si>
  <si>
    <t>รายงานกระแสเงินสด</t>
  </si>
  <si>
    <t>รับเงินรายรับ</t>
  </si>
  <si>
    <t>รับเงินรับฝาก</t>
  </si>
  <si>
    <t>ตั้งแต่ต้นปีถึงปัจจุบัน</t>
  </si>
  <si>
    <t>จ่ายเงินตามงบประมาณ</t>
  </si>
  <si>
    <t>จ่ายเงินรับฝาก</t>
  </si>
  <si>
    <t>รับสูง  หรือ  (ต่ำ)  กว่าจ่าย</t>
  </si>
  <si>
    <t>ประมาณการ</t>
  </si>
  <si>
    <t>รับจริง</t>
  </si>
  <si>
    <t>รายได้จัดเก็บเอง</t>
  </si>
  <si>
    <t>หมวดภาษีอากร</t>
  </si>
  <si>
    <t>หมวดค่าธรรมเนียมค่าปรับและใบอนุญาต</t>
  </si>
  <si>
    <t>หมวดรายได้จากทรัพย์สิน</t>
  </si>
  <si>
    <t>หมวดรายได้จากสาธารณูปโภคและการพาณิชย์</t>
  </si>
  <si>
    <t>หมวดรายได้เบ็ดเตล็ด</t>
  </si>
  <si>
    <t>หมวดภาษีจัดสรร</t>
  </si>
  <si>
    <t>แผนงาน/งาน</t>
  </si>
  <si>
    <t>หมวด/ประเภทรายจ่าย</t>
  </si>
  <si>
    <t>โอนงบประมาณ  เพิ่ม +</t>
  </si>
  <si>
    <t>โอนงบประมาณ  (ลด)  -</t>
  </si>
  <si>
    <t>หมวดค่าใช้สอย</t>
  </si>
  <si>
    <t>หมวดค่าวัสดุ</t>
  </si>
  <si>
    <t>รายรับจริงประกอบงบทดลองและรายงานรับ - จ่ายเงินสด</t>
  </si>
  <si>
    <t>หมวด / ประเภท</t>
  </si>
  <si>
    <t>ก่อหนี้ผูกพัน</t>
  </si>
  <si>
    <t>ไม่ก่อหนี้ผูกพัน</t>
  </si>
  <si>
    <t>เบิกจ่ายแล้ว</t>
  </si>
  <si>
    <t>คงเหลือ</t>
  </si>
  <si>
    <t>รับจริงตั้งแต่ต้นปี</t>
  </si>
  <si>
    <t xml:space="preserve">ปกครองส่วนท้องถิ่น   </t>
  </si>
  <si>
    <t>รายได้ที่รัฐบาลจัดเก็บแล้วจัดสรรให้องค์กร</t>
  </si>
  <si>
    <t>นิติกรรมที่ดิน</t>
  </si>
  <si>
    <t>ท้องถิ่น</t>
  </si>
  <si>
    <t>รายได้ที่รัฐบาลอุดหนุนให้องค์กรปกครองส่วน</t>
  </si>
  <si>
    <t>เงินรับฝาก  (หมายเหตุ 2)</t>
  </si>
  <si>
    <t>เงินรับฝาก  (หมายเหตุ  2)</t>
  </si>
  <si>
    <t>รวมทั้งสิ้น</t>
  </si>
  <si>
    <t>(หมายเหตุ  1)</t>
  </si>
  <si>
    <t>และจำหน่ายเนื้อสัตว์</t>
  </si>
  <si>
    <t>แจ้งการจัดตั้งสถานที่จำหน่ายอาหารหรือสะสม</t>
  </si>
  <si>
    <t>อาหารในอาคารหรือพื้นที่ใด  ซึ่งมีพื้นที่ไม่เกิน</t>
  </si>
  <si>
    <t>200  ตารางเมตร</t>
  </si>
  <si>
    <t>มาตรา 9</t>
  </si>
  <si>
    <t>หรือสถานที่สะสมอาหารในครัวเรือนหรือพื้นที่</t>
  </si>
  <si>
    <t>ใดซึ่งมีพื้นที่เกิน  200  ตารางเมตร</t>
  </si>
  <si>
    <t>สาธารณะ</t>
  </si>
  <si>
    <t>เครื่องเสียง</t>
  </si>
  <si>
    <t>หมวดรายได้จากทุน</t>
  </si>
  <si>
    <t>รายจ่าย  (จ่ายจากเงินสะสม)</t>
  </si>
  <si>
    <t>รายจ่ายตามงบประมาณ  (จ่ายจากเงินรายรับ)</t>
  </si>
  <si>
    <t>บริหารงานทั่วไป</t>
  </si>
  <si>
    <t>บริหารทั่วไป</t>
  </si>
  <si>
    <t>บริหารงานคลัง</t>
  </si>
  <si>
    <t>รักษาความสงบภายใน</t>
  </si>
  <si>
    <t>ป้องกันภัยฝ่ายพลเรือน</t>
  </si>
  <si>
    <t>สาธารณสุข</t>
  </si>
  <si>
    <t>บริการสาธารณสุข</t>
  </si>
  <si>
    <t>สังคมสงเคราะห์</t>
  </si>
  <si>
    <t>สวัสดิการสังคม</t>
  </si>
  <si>
    <t>สร้างความเข้มแข็ง</t>
  </si>
  <si>
    <t>ส่งเสริมและสนับสนุน</t>
  </si>
  <si>
    <t>เคหะและชุมชน</t>
  </si>
  <si>
    <t>ไฟฟ้าและถนน</t>
  </si>
  <si>
    <t>การศึกษา</t>
  </si>
  <si>
    <t>ศาสนาวัฒนธรรม</t>
  </si>
  <si>
    <t>กีฬาฯ</t>
  </si>
  <si>
    <t>การพาณิชย์</t>
  </si>
  <si>
    <t>กิจการประปา</t>
  </si>
  <si>
    <t>(นายสุรพล   บุญยก)</t>
  </si>
  <si>
    <t>(หมายเหตุ 5)</t>
  </si>
  <si>
    <t xml:space="preserve">ค่าตอบแทน </t>
  </si>
  <si>
    <t>ผู้อำนวยการกองคลัง</t>
  </si>
  <si>
    <t>การเกษตร</t>
  </si>
  <si>
    <t>ส่งเสริมฯ</t>
  </si>
  <si>
    <t>รายจ่ายตามงบประมาณ  (จ่ายจากเงินอุดหนุนระบุวัตถุประสงค์)</t>
  </si>
  <si>
    <t>งบกลางจ่ายจากเงินอุดหนุนระบุวัตถุประสงค์</t>
  </si>
  <si>
    <t>ที่เป็นอันตรายต่อสุขภาพ</t>
  </si>
  <si>
    <t>รายจ่าย  (จ่ายจากเงินทุนเงินสะสม)</t>
  </si>
  <si>
    <t>ประจำเดือน  พฤศจิกายน  2555</t>
  </si>
  <si>
    <t>(นายวิภาส  นวลพุฒ)</t>
  </si>
  <si>
    <t>กำจัดขยะ</t>
  </si>
  <si>
    <t>ทรัพย์สินเกิดจากเงินกู้</t>
  </si>
  <si>
    <t>เงินอุดหนุนระบุวัตถุประสงค์</t>
  </si>
  <si>
    <t>1.  รายจ่ายเพื่อให้ได้มาซึ่งบริการ</t>
  </si>
  <si>
    <t>2.  รายจ่ายเกี่ยวเนื่องกับการปฏิบัติราชการที่ไม่เข้าลักษณะ</t>
  </si>
  <si>
    <t>รายจ่ายหมวดอื่น</t>
  </si>
  <si>
    <t>1.  วัสดุสำนักงาน</t>
  </si>
  <si>
    <t>ไม่รวม กสท.</t>
  </si>
  <si>
    <t xml:space="preserve">กระดาษทำการกระทบยอด        </t>
  </si>
  <si>
    <t>(บาท)</t>
  </si>
  <si>
    <t>ประมาณการ (บาท)</t>
  </si>
  <si>
    <t>เงินอุดหนุนระบุวัตถุประสงค์/เฉพาะกิจ (บาท)</t>
  </si>
  <si>
    <t>จำนวนเงินเดือนนี้ที่เกิดขึ้นจริง (บาท)</t>
  </si>
  <si>
    <t>รายรับ   (หมายเหตุ  1)</t>
  </si>
  <si>
    <t>รายละเอียดประกอบงบทดลองและรายงานรับ - จ่ายเงิน</t>
  </si>
  <si>
    <t>หมวดที่จ่าย</t>
  </si>
  <si>
    <t>ค่าใช้จ่าย 5%</t>
  </si>
  <si>
    <t>เงินประกันสัญญา</t>
  </si>
  <si>
    <t>ค่าภาษีหัก ณ ที่จ่าย</t>
  </si>
  <si>
    <t>เงินทุนโครงการเศรษฐกิจชุมชน</t>
  </si>
  <si>
    <t>รายละเอียดรายจ่ายค้างจ่าย</t>
  </si>
  <si>
    <t>รายจ่ายค้างจ่าย  (หมายเหตุ  3 )</t>
  </si>
  <si>
    <t>เงินเดือน  (ฝ่ายการเมือง)</t>
  </si>
  <si>
    <t>รายละเอียดบัญชีเงินรับฝาก</t>
  </si>
  <si>
    <t>(นายสุรพล  บุญยก)</t>
  </si>
  <si>
    <t>เลขที่บัญชี   963-8-01424-8</t>
  </si>
  <si>
    <t>บาท</t>
  </si>
  <si>
    <t>วันที่ลงบัญชี</t>
  </si>
  <si>
    <t>วันที่ฝากธนาคาร</t>
  </si>
  <si>
    <r>
      <rPr>
        <b/>
        <u/>
        <sz val="16"/>
        <rFont val="Angsana New"/>
        <family val="1"/>
      </rPr>
      <t>บวก</t>
    </r>
    <r>
      <rPr>
        <b/>
        <sz val="16"/>
        <rFont val="Angsana New"/>
        <family val="1"/>
      </rPr>
      <t xml:space="preserve"> : เงินฝากระหว่างทาง</t>
    </r>
  </si>
  <si>
    <r>
      <t>หัก</t>
    </r>
    <r>
      <rPr>
        <b/>
        <sz val="16"/>
        <rFont val="Angsana New"/>
        <family val="1"/>
      </rPr>
      <t xml:space="preserve"> : เช็คจ่ายที่ผู้รับยังไม่นำมาขึ้นเงินกับธนาคาร</t>
    </r>
  </si>
  <si>
    <r>
      <rPr>
        <b/>
        <u/>
        <sz val="16"/>
        <rFont val="Angsana New"/>
        <family val="1"/>
      </rPr>
      <t>บวก</t>
    </r>
    <r>
      <rPr>
        <b/>
        <sz val="16"/>
        <rFont val="Angsana New"/>
        <family val="1"/>
      </rPr>
      <t xml:space="preserve"> : หรือ (หัก) รายการกระทบยอดอื่นๆ</t>
    </r>
  </si>
  <si>
    <t>รายละเอียด</t>
  </si>
  <si>
    <t>เลขที่เอกสาร</t>
  </si>
  <si>
    <t>ผู้จัดทำ</t>
  </si>
  <si>
    <t>ผู้ตรวจสอบ</t>
  </si>
  <si>
    <t xml:space="preserve">        (นางฐิติพร   พ่วงแสง)</t>
  </si>
  <si>
    <t xml:space="preserve">         ผู้อำนวยการกองคลัง</t>
  </si>
  <si>
    <t>รายละเอียดเงินเดือน (ฝ่ายประจำ)</t>
  </si>
  <si>
    <t>หมายเหตุ 4</t>
  </si>
  <si>
    <t>เกิดขึ้นเดือนนี้</t>
  </si>
  <si>
    <t>ตั้งแต่ต้นปี</t>
  </si>
  <si>
    <t>1.  เงินเดือนพนักงาน</t>
  </si>
  <si>
    <t>2.  ค่าจ้างประจำ</t>
  </si>
  <si>
    <t>3.  ค่าตอบแทนพนักงานจ้าง</t>
  </si>
  <si>
    <t>เงินเดือน (ฝ่ายประจำ)  (หมายเหตุ 4)</t>
  </si>
  <si>
    <t>ลูกหนี้ภาษีบำรุงท้องที่</t>
  </si>
  <si>
    <t>ลูกหนี้เงินทุนโครงการเศรษฐกิจชุมชน</t>
  </si>
  <si>
    <t>ลูกหนี้เงินยืม</t>
  </si>
  <si>
    <t>เงินรับฝากค่าใช้จ่าย 5%</t>
  </si>
  <si>
    <t>เงินรับฝากเงินประกันสัญญา</t>
  </si>
  <si>
    <t>เงินรับฝากค่าภาษีหัก  ณ  ที่จ่าย</t>
  </si>
  <si>
    <t>เงินรับฝากเงินทุนโครงการเศรษฐกิจชุมชน</t>
  </si>
  <si>
    <t>เจ้าหนี้เงินสะสม</t>
  </si>
  <si>
    <t xml:space="preserve">เจ้าหนี้เงินกู้ กสท. </t>
  </si>
  <si>
    <t>ลูกหนี้เงินสะสม</t>
  </si>
  <si>
    <r>
      <rPr>
        <b/>
        <u/>
        <sz val="16"/>
        <rFont val="Angsana New"/>
        <family val="1"/>
      </rPr>
      <t>รายจ่ายค้างจ่า</t>
    </r>
    <r>
      <rPr>
        <b/>
        <sz val="16"/>
        <rFont val="Angsana New"/>
        <family val="1"/>
      </rPr>
      <t>ย  (หมายเหตุ 3)</t>
    </r>
  </si>
  <si>
    <t>(นายวิภาส   นวลพุฒ)</t>
  </si>
  <si>
    <t>สำรองจ่าย</t>
  </si>
  <si>
    <t>เงินเดือน</t>
  </si>
  <si>
    <t>ประจำ</t>
  </si>
  <si>
    <t>พิเศษ</t>
  </si>
  <si>
    <t>เลขา</t>
  </si>
  <si>
    <t>สมาชิก</t>
  </si>
  <si>
    <t>เงินเพิ่ม</t>
  </si>
  <si>
    <t>ประจำตำแหน่ง</t>
  </si>
  <si>
    <t>จ้างชั่ว</t>
  </si>
  <si>
    <t>ให้ได้มา</t>
  </si>
  <si>
    <t>ประโยชน์</t>
  </si>
  <si>
    <t>เช่าบ้าน</t>
  </si>
  <si>
    <t>ซ่อมแซม</t>
  </si>
  <si>
    <t xml:space="preserve">รับรอง </t>
  </si>
  <si>
    <t>เกี่ยวเนื่อง</t>
  </si>
  <si>
    <t>สำนักงาน</t>
  </si>
  <si>
    <t>ไฟฟ้า</t>
  </si>
  <si>
    <t>ก่อสร้าง</t>
  </si>
  <si>
    <t>เชื้อเพลิง</t>
  </si>
  <si>
    <t>ดับเพลิง</t>
  </si>
  <si>
    <t>ประปา</t>
  </si>
  <si>
    <t>โทรศัพท์</t>
  </si>
  <si>
    <t>ไปรษณีย์</t>
  </si>
  <si>
    <t>โทรคมนาคม</t>
  </si>
  <si>
    <t>ยานพาหนะ</t>
  </si>
  <si>
    <t>คอม</t>
  </si>
  <si>
    <t>นอกเวลา</t>
  </si>
  <si>
    <t>บำเหน็จลูกจ้าง</t>
  </si>
  <si>
    <t>ค่าจ้างประจำ</t>
  </si>
  <si>
    <t>ประกัน</t>
  </si>
  <si>
    <t>บำเหน็จ</t>
  </si>
  <si>
    <t>เอดส์</t>
  </si>
  <si>
    <t>เงินต้น</t>
  </si>
  <si>
    <t>ดอกเบี้ย</t>
  </si>
  <si>
    <t>สังคม</t>
  </si>
  <si>
    <t>ตามข้อผูกพัน</t>
  </si>
  <si>
    <t>นายก</t>
  </si>
  <si>
    <t>ตอบแทน</t>
  </si>
  <si>
    <t>ค่าจ้าง</t>
  </si>
  <si>
    <t>บริการ</t>
  </si>
  <si>
    <t>รับรอง</t>
  </si>
  <si>
    <t>นม</t>
  </si>
  <si>
    <t>อื่น</t>
  </si>
  <si>
    <t>งานครัว</t>
  </si>
  <si>
    <t>น้ำมัน</t>
  </si>
  <si>
    <t>วิทยาศาสตร์</t>
  </si>
  <si>
    <t>เกษตร</t>
  </si>
  <si>
    <t>เผยแพร่</t>
  </si>
  <si>
    <t>แต่งกาย</t>
  </si>
  <si>
    <t>กีฬา</t>
  </si>
  <si>
    <t>น้ำประปา</t>
  </si>
  <si>
    <t>อาคาร</t>
  </si>
  <si>
    <t>สาธารฯ</t>
  </si>
  <si>
    <t>งานบ้านครัว</t>
  </si>
  <si>
    <t>สร้างสาธารณูปโภค</t>
  </si>
  <si>
    <t>เงินรับฝากเงินรอคืนจังหวัด</t>
  </si>
  <si>
    <t>เงินรอคืนจังหวัด</t>
  </si>
  <si>
    <t>หมวดงบกลาง</t>
  </si>
  <si>
    <t xml:space="preserve">กระดาษทำการกระทบยอด   </t>
  </si>
  <si>
    <t xml:space="preserve">รายจ่ายจริงประกอบงบทดลองและรายงานรับ -จ่ายเงินสด  </t>
  </si>
  <si>
    <t xml:space="preserve">กระดาษทำการกระทบยอด      </t>
  </si>
  <si>
    <t xml:space="preserve">งบประมาณคงเหลือ    </t>
  </si>
  <si>
    <t>2.  รายจ่ายเกี่ยวเนื่องกับการปฏิบัติราชการฯ</t>
  </si>
  <si>
    <t>บุตร</t>
  </si>
  <si>
    <t>ป้องกันภัยฝ่าย</t>
  </si>
  <si>
    <t>ป้องกันภัย</t>
  </si>
  <si>
    <t>บริหารทั่วไปฯ</t>
  </si>
  <si>
    <t>เงินรับฝากประกันมาตรน้ำ</t>
  </si>
  <si>
    <t>ประกันมาตรน้ำ</t>
  </si>
  <si>
    <t>หมวดเงินอุดหนุนระบุวัตถุประสงค์/เฉพาะกิจ</t>
  </si>
  <si>
    <t>หมวดเงินอุดหนุนทั่วไป</t>
  </si>
  <si>
    <t>เฉพาะกิจ</t>
  </si>
  <si>
    <t>รายได้ที่รัฐบาลอุดหนุนให้โดยระบุวัตถุประสงค์/</t>
  </si>
  <si>
    <t>กรมส่งเสริมการปกครองส่วนท้องถิ่น</t>
  </si>
  <si>
    <t>1. เงินอุดหนุนระบุวัตถุประสงค์/เฉพาะกิจจาก</t>
  </si>
  <si>
    <t>(9.)  เงินค่าจัดการเรียนการสอน</t>
  </si>
  <si>
    <t>(1.)  เงินอุดหนุนทั่วไป</t>
  </si>
  <si>
    <t>(1.)  ภาษีโรงเรือนและที่ดิน</t>
  </si>
  <si>
    <t>(2.)  ภาษีบำรุงท้องที่</t>
  </si>
  <si>
    <t>(3.)  ภาษีป้าย</t>
  </si>
  <si>
    <t>(4.)  อากรรังนกอีแอ่น</t>
  </si>
  <si>
    <t>(1.)  ค่าธรรมเนียมเกี่ยวกับควบคุมการฆ่าสัตว์</t>
  </si>
  <si>
    <t>(2.)  ค่าธรรมเนียมเกี่ยวกับใบอนุญาตการขายสุรา</t>
  </si>
  <si>
    <t>(3.)  ค่าธรรมเนียมเกี่ยวกับใบอนุญาตการพนัน</t>
  </si>
  <si>
    <t>(4.)  ค่าธรรมเนียมเกี่ยวกับการควบคุมอาคาร</t>
  </si>
  <si>
    <t>(5.)  ค่าธรรมเนียมเก็บและขนขยะมูลฝอย</t>
  </si>
  <si>
    <t>(6.)  ค่าธรรมเนียมในการออกหนังสือรับรองการ</t>
  </si>
  <si>
    <t>(7.)  ค่าธรรมเนียมเกี่ยวกับสุสานและฌาปนสถาน</t>
  </si>
  <si>
    <t>(8.)  ค่าธรรมเนียมปิดประกาศ</t>
  </si>
  <si>
    <t>(9.)  ค่าธรรมเนียมเกี่ยวกับทะเบียนราษฎร</t>
  </si>
  <si>
    <t>(10.)  ค่าธรรมเนียมตามประมวลกฎหมายที่ดิน</t>
  </si>
  <si>
    <t>(11.) ค่าธรรมเนียมจดทะเบียนพาณิชย์</t>
  </si>
  <si>
    <t>(12.)  ค่าธรรมเนียมกำจัดขยะมูลฝอย</t>
  </si>
  <si>
    <t>(13.) ค่าธรรมเนียมอื่นๆ</t>
  </si>
  <si>
    <t>(14.)  ค่าปรับผู้กระผิดกฎหมายจราจรทางบก</t>
  </si>
  <si>
    <t>(15.)  ค่าปรับผู้กระทำผิดกฎหมายและข้อบังคับ</t>
  </si>
  <si>
    <t>(16.)  ค่าปรับการผิดสัญญา</t>
  </si>
  <si>
    <t>(17.)  ค่าปรับอื่นๆ</t>
  </si>
  <si>
    <t>(18.)  ค่าใบอนุญาตจัดตั้งสถานที่จำหน่ายอาหาร</t>
  </si>
  <si>
    <t>(19.)  ค่าใบอนุญาตจำหน่ายสินค้าในที่หรือทาง</t>
  </si>
  <si>
    <t>(20.)  ค่าใบอนุญาตเกี่ยวกับการควบคุมอาคาร</t>
  </si>
  <si>
    <t>(21.)  ค่าใบอนุญาตเกี่ยวกับการโฆษณาโดยใช้</t>
  </si>
  <si>
    <t>(22.) ค่าใบอนุญาตประกอบการค้าสำหรับกิจการ</t>
  </si>
  <si>
    <t>(23.)  ค่าใบอนุญาตอื่นๆ</t>
  </si>
  <si>
    <t>(1.)  ดอกเบี้ย</t>
  </si>
  <si>
    <t>(2.)  ค่าตอบแทนตามที่กฎหมายกำหนด</t>
  </si>
  <si>
    <t>(3.) รายได้จากทรัพย์สินอื่นๆ</t>
  </si>
  <si>
    <t>(1.)  รายได้จากสาธารณูปโภคและการพาณิชย์</t>
  </si>
  <si>
    <t>(1.)  ค่าขายแบบแปลน</t>
  </si>
  <si>
    <t>(2.)  รายได้เบ็ดเตล็ดอื่นๆ</t>
  </si>
  <si>
    <t>(1.)  ค่าขายทอดตลาดทรัพย์สิน</t>
  </si>
  <si>
    <t>(1.)  ภาษีมูลค่าเพิ่ม 1/9</t>
  </si>
  <si>
    <t>(2.)  ภาษีมูลค่าเพิ่ม พรบ.แผน)</t>
  </si>
  <si>
    <t>(3.)  ภาษีธุรกิจเฉพาะ</t>
  </si>
  <si>
    <t>(4.)  ภาษีสุรา</t>
  </si>
  <si>
    <t>(5.)  ภาษีสรรพสามิต</t>
  </si>
  <si>
    <t xml:space="preserve">                หัวหน้าฝ่ายบริหารงานคลัง</t>
  </si>
  <si>
    <t>ค่าจ้างประจำจ่ายจากเงินอุดหนุนระบุวัตถุประสงค์</t>
  </si>
  <si>
    <t>(10.)  อาหารเสริม (นม) เด็กปฐมวัย</t>
  </si>
  <si>
    <t>(11.) อาหารกลางวันเด็กปฐมวัย</t>
  </si>
  <si>
    <t>(6.)  ค่าภาคหลวงและค่าธรรมเนียมป่าไม้</t>
  </si>
  <si>
    <t>(7.)  ค่าภาคหลวงแร่</t>
  </si>
  <si>
    <t>(8.)  ค่าภาคหลวงปิโตรเลียม</t>
  </si>
  <si>
    <t>(9.)  ค่าธรรมเนียมจดทะเบียนสิทธิและ</t>
  </si>
  <si>
    <t>(10.)  ค่าธรรมเนียมน้ำบาดาลและใช้น้ำบาดาล</t>
  </si>
  <si>
    <t>(11.)  ค่าธรรมเนียมรถยนต์และล้อเลื่อน</t>
  </si>
  <si>
    <t>(2.)  เงินสงเคราะห์เบี้ยยังชีพผู้ป่วยเอดส์</t>
  </si>
  <si>
    <t>สูงอายุ</t>
  </si>
  <si>
    <t>พิการ</t>
  </si>
  <si>
    <t>สุงอายุ</t>
  </si>
  <si>
    <t>สำรวจ</t>
  </si>
  <si>
    <t>โรงงาน</t>
  </si>
  <si>
    <t>การโอนงบประมาณรายจ่ายประจำปีงบประมาณ  2560</t>
  </si>
  <si>
    <t>จ่ายลูกหนี้เงินยืม</t>
  </si>
  <si>
    <t>จ่ายรายจ่ายค้างจ่าย</t>
  </si>
  <si>
    <t>อุดหนุนอปท.</t>
  </si>
  <si>
    <t>อุดหนุนราชการ</t>
  </si>
  <si>
    <t>อุดหนุนเอกชน</t>
  </si>
  <si>
    <t>รายจ่ายตามข้อผูกพัน</t>
  </si>
  <si>
    <t>(24.)  ค่าธรรมเนียมประกอบกิจการน้ำมัน</t>
  </si>
  <si>
    <t xml:space="preserve">ลูกหนี้เงินยืม </t>
  </si>
  <si>
    <t>(3.)  เงินสงเคราะห์เบี้ยยังชีพผู้สูงอายุ</t>
  </si>
  <si>
    <t>(4.)  เงินสงเคราะห์เบี้ยยังชีพคนพิการ</t>
  </si>
  <si>
    <t>(5.)  เงินสมทบกองทุนประกันสังคม</t>
  </si>
  <si>
    <t>(6.)  ค่าตอบแทนครูผู้ดูแลเด็ก</t>
  </si>
  <si>
    <t>(7.)  เงินเพิ่มค่าตอบแทนครูผู้ดูแลเด็ก</t>
  </si>
  <si>
    <t>(8.)  เงินเดือนครูผู้ดูแลเด็ก</t>
  </si>
  <si>
    <t>(1)  เงินบำเหน็จลูกจ้างประจำ</t>
  </si>
  <si>
    <t>จ่ายเงินสะสม</t>
  </si>
  <si>
    <t>ป้องกันภัยฝ่ายฯ</t>
  </si>
  <si>
    <t>จ่ายลูกหนี้เงินสะสม</t>
  </si>
  <si>
    <t>(12.) อาหารเสริม (นม) ประถมศึกษา</t>
  </si>
  <si>
    <t>(13.) อาหารกลางวันเด็กประถมศึกษา</t>
  </si>
  <si>
    <t>(14.) ค่าเล่าเรียนบุตร</t>
  </si>
  <si>
    <t>เดือนสิงหาคม   2560  (ครั้งที่ 14)</t>
  </si>
  <si>
    <t xml:space="preserve">เงินต้น </t>
  </si>
  <si>
    <t>ค่าไฟฟ้า</t>
  </si>
  <si>
    <t>1. เงินสงเคราะห์เบี้ยยังชีพผู้พิการ</t>
  </si>
  <si>
    <t>หมวดค่าที่ดินและสิ่งก่อสร้าง</t>
  </si>
  <si>
    <t>รายได้จากรัฐบาลค้างรับ</t>
  </si>
  <si>
    <t>(2)  เงินสมทบกองทุนบำเหน็จบำนาญข้าราชการ</t>
  </si>
  <si>
    <t>(3)  เงินเดือนพนักงานถ่ายโอน</t>
  </si>
  <si>
    <t>รายได้จากรัฐาลค้างรับ</t>
  </si>
  <si>
    <t>การโอนงบประมาณรายจ่ายประจำปีงบประมาณ  2561</t>
  </si>
  <si>
    <t>เงินรับฝากประกันสังคม</t>
  </si>
  <si>
    <t>(15.) เงินอุดหนุนด้านสาธารณสุข</t>
  </si>
  <si>
    <t>2.  วัสดุน้ำมันเชื้อเพลิงและหล่อลื่น</t>
  </si>
  <si>
    <t>จ่ายเงินทุนสำรองเงินสะสม</t>
  </si>
  <si>
    <t>จ่ายเจ้าหนี้เงินสะสม</t>
  </si>
  <si>
    <t>เงินสมทบ กบข.</t>
  </si>
  <si>
    <t>รายละเอียดบัญชีเงินรับฝากรอคินจังหวัด</t>
  </si>
  <si>
    <t>ยอดยกมาจากปีงบประมาณ 2558</t>
  </si>
  <si>
    <t>ลำดับที่</t>
  </si>
  <si>
    <t>เงินบำเหน็จลูกจ้างประจำ</t>
  </si>
  <si>
    <t>เงินสมทบกองทุนประกันสังคม</t>
  </si>
  <si>
    <t>เงินเดือนครูผู้ดูแลเด็ก</t>
  </si>
  <si>
    <t>ค่าตอบแทนครูผู้ดูแลเด็ก</t>
  </si>
  <si>
    <t>เงินเพิ่มค่าครองชีพชั่วคราว</t>
  </si>
  <si>
    <t>เงินช่วยเหลือการศึกษาบุตร</t>
  </si>
  <si>
    <t>เงินสวัสดิการ</t>
  </si>
  <si>
    <t>ยอดยกมาจากปีงบประมาณ 2559</t>
  </si>
  <si>
    <t>ค่าจ้างประจำถ่ายโอน</t>
  </si>
  <si>
    <t>ค่าใช้จ่ายกิจการสร้างสรร</t>
  </si>
  <si>
    <t>เงินสงเคราะห์เบี้ยยังชีพผู้พิการ</t>
  </si>
  <si>
    <t>รายละเอียดเงินรับฝากรอคืนจังหวัด</t>
  </si>
  <si>
    <t>ประจำปีงบประมาณ 2560</t>
  </si>
  <si>
    <t>ช่วยเหลือพิเศษ</t>
  </si>
  <si>
    <t>เครื่องแต่งกาย</t>
  </si>
  <si>
    <t>ช่วยพิเศษ</t>
  </si>
  <si>
    <t>(4)  ค่าจ้างประจำถ่ายโอน</t>
  </si>
  <si>
    <t>(5)  ค่าไฟฟ้า</t>
  </si>
  <si>
    <t>(6)  ค่ารักษาพยาบาล สปสช.</t>
  </si>
  <si>
    <t>ค่าตอบแทนจ่ายจากเงินอุดหนุนระบุวัตถุประสงค์</t>
  </si>
  <si>
    <t>เงินเดือนพนักงานถ่ายโอนจ่ายจากเงินอุดหนุนระบุวัตถุประสงค์</t>
  </si>
  <si>
    <t>(7)  โครงการสัตว์ปลอดโรคพิษสุนัขบ้า</t>
  </si>
  <si>
    <t>(8)  ค่าสำรวจและขึ้นทะเบียนจำนวนสัตว์</t>
  </si>
  <si>
    <t xml:space="preserve">                 (นางสาวลัดดาวัลย์  สงจันทร์)</t>
  </si>
  <si>
    <t xml:space="preserve"> 17 มกราคม 2561</t>
  </si>
  <si>
    <t>เดือนกุมภาพันธ์   2560  (ครั้งที่ 3)</t>
  </si>
  <si>
    <t>ดนตรี</t>
  </si>
  <si>
    <t>(9)  โครงการปรับปรุงซ่อมแซมและขยายเขตประปา</t>
  </si>
  <si>
    <t xml:space="preserve"> 1 กุมภาพันธ์ 2561</t>
  </si>
  <si>
    <t xml:space="preserve"> 6 กุมภาพันธ์ 2561</t>
  </si>
  <si>
    <t xml:space="preserve"> 9 กุมภาพันธ์ 2561</t>
  </si>
  <si>
    <t xml:space="preserve"> 13 กุมภาพันธ์ 2561</t>
  </si>
  <si>
    <t xml:space="preserve"> 20 กุมภาพันธ์ 2561</t>
  </si>
  <si>
    <t>ค่าที่ดินและสิ่งก่อร้าง</t>
  </si>
  <si>
    <t>ค่าที่ดินและสิ่งก่อสร้างจ่ายจากเงินอุดหนุนระบุวัตถุประสงค์</t>
  </si>
  <si>
    <t>(10) โครงการพัฒนาระบบคุ้มครองเด็ก</t>
  </si>
  <si>
    <t xml:space="preserve"> 5 มีนาคม 2561</t>
  </si>
  <si>
    <t xml:space="preserve"> 7 มีนาคม 2561</t>
  </si>
  <si>
    <t xml:space="preserve"> 9 มีนาคม 2561</t>
  </si>
  <si>
    <t xml:space="preserve"> 12 มีนาคม 2561</t>
  </si>
  <si>
    <t xml:space="preserve"> 16 มีนาคม 2561</t>
  </si>
  <si>
    <t xml:space="preserve"> 20 มีนาคม 2561</t>
  </si>
  <si>
    <t>.............................................................วันที่  2/3/2561</t>
  </si>
  <si>
    <t>.............................................วันที่ 20/3/2561</t>
  </si>
  <si>
    <t>ยอดคงเหลือตามบัญชี  ณ 20  มีนาคม  2561</t>
  </si>
  <si>
    <t>ยอดเงินคงเหลือตามรายงานธนาคาร ณ วันที่  20  มีนาคม  2561</t>
  </si>
  <si>
    <t>หัก : เช็คตัดยอดสูงกว่าระบบมือ</t>
  </si>
  <si>
    <r>
      <rPr>
        <b/>
        <u/>
        <sz val="16"/>
        <rFont val="Angsana New"/>
        <family val="1"/>
      </rPr>
      <t>บวก</t>
    </r>
    <r>
      <rPr>
        <b/>
        <sz val="16"/>
        <rFont val="Angsana New"/>
        <family val="1"/>
      </rPr>
      <t xml:space="preserve"> : เงินฝากระหว่างทาง </t>
    </r>
  </si>
  <si>
    <t xml:space="preserve"> 20 เมษายน 2561</t>
  </si>
  <si>
    <t>เงินทุนส่งเสริมกิจการเทศบาล</t>
  </si>
  <si>
    <t>ค่าใช้สอยจ่ายจากเงินอุดหนุนระบุวัตถุประสงค์</t>
  </si>
  <si>
    <t>ประกันมาตร</t>
  </si>
  <si>
    <t xml:space="preserve"> 10 พฤษภาคม  2561</t>
  </si>
  <si>
    <t>เดือนมิถุนายน 2561</t>
  </si>
  <si>
    <t>เดือน  มิถุนายน  2561</t>
  </si>
  <si>
    <t>ลูกหนี้เงินยืมโครงการเศรษฐกิจชุมชน</t>
  </si>
  <si>
    <t>จ่ายเจ้าหนี้เงินกู้ กสท.</t>
  </si>
  <si>
    <t>จ่ายเงินทุนส่งเสริมกิจการเทศบาล</t>
  </si>
  <si>
    <t>ค่ากรมธรรม์ประกันภัย</t>
  </si>
  <si>
    <t xml:space="preserve"> 17 สิงหาคม  2561</t>
  </si>
  <si>
    <t>เดือนกันยายน   2561  (ครั้งที่ 12)</t>
  </si>
  <si>
    <t>ประจำเดือนกันยายน  2561</t>
  </si>
  <si>
    <t>1.  เงินสงเคราะห์เบี้ยยังชีพผู้พิการ</t>
  </si>
  <si>
    <t>1. ค่าก่อสร้างอาคาร</t>
  </si>
  <si>
    <t>3.  วัสดุอาหารเสริม (นม)</t>
  </si>
  <si>
    <t>หมวดเงินเดือน</t>
  </si>
  <si>
    <t>1.  เงินวิทยฐานะ</t>
  </si>
  <si>
    <t>1.ค่าก่อสร้างอาคาร</t>
  </si>
  <si>
    <t>รายจ่ายค้างจ่าย</t>
  </si>
  <si>
    <t>ปีงบประมาณ  2561   ประจำเดือนกันยายน  2561</t>
  </si>
  <si>
    <t>เดือนกันยายน 2561</t>
  </si>
  <si>
    <t>ยอดเงินคงเหลือตามรายงานธนาคาร ณ วันที่   28 กันยายน 2561</t>
  </si>
  <si>
    <t>ยอดคงเหลือตามบัญชี  ณ  28  กันยายน  2561</t>
  </si>
  <si>
    <t>.............................................................วันที่  28/9/2561</t>
  </si>
  <si>
    <t>.............................................วันที่ 28/9/2561</t>
  </si>
  <si>
    <t>อุไรวรรณ ไชยบุรินทร์</t>
  </si>
  <si>
    <t xml:space="preserve"> 17  กันยายน  2561</t>
  </si>
  <si>
    <t xml:space="preserve"> 20  กันยายน  2561</t>
  </si>
  <si>
    <t xml:space="preserve"> 25  กันยายน  2561</t>
  </si>
  <si>
    <t>เพียงวันที่  30  กันยายน 2561</t>
  </si>
  <si>
    <t>ณ  วันที่ 30  กันยายน  2561</t>
  </si>
  <si>
    <t>ณ วันที่  30  กันยายน  2561</t>
  </si>
  <si>
    <t>วันที่ 30 กันยายน  2561</t>
  </si>
  <si>
    <t>งบทดลอง (หลังปิดบัญชี)</t>
  </si>
  <si>
    <t>ปีงบประมาณ 2561</t>
  </si>
  <si>
    <t>ณ วันที่ 30 กันยายน 2561</t>
  </si>
  <si>
    <t xml:space="preserve">11011000  </t>
  </si>
  <si>
    <t>เงินฝาก-ออมทรัพย์/เผื่อเรียก(045-2-42614-4)</t>
  </si>
  <si>
    <t xml:space="preserve">11012001  </t>
  </si>
  <si>
    <t>เงินฝาก-ออมทรัพย์/เผื่อเรียก(908-0-97125-4)</t>
  </si>
  <si>
    <t>เงินฝาก-ออมทรัพย์/เผื่อเรียก(963-8-01424-8)</t>
  </si>
  <si>
    <t>เงินฝาก-ประจำ(963-4-14018-6)</t>
  </si>
  <si>
    <t xml:space="preserve">11012002  </t>
  </si>
  <si>
    <t>เงินฝาก-กระแสรายวัน(908-6-04498-0)</t>
  </si>
  <si>
    <t xml:space="preserve">11012003  </t>
  </si>
  <si>
    <t>เงินฝากเงินทุนส่งเสริมกิจการเทศบาล</t>
  </si>
  <si>
    <t xml:space="preserve">11032000  </t>
  </si>
  <si>
    <t xml:space="preserve">11043002  </t>
  </si>
  <si>
    <t xml:space="preserve">12010010  </t>
  </si>
  <si>
    <t xml:space="preserve">21010000  </t>
  </si>
  <si>
    <t>เงินรับฝากภาษีหัก ณ ที่จ่าย</t>
  </si>
  <si>
    <t xml:space="preserve">21040001  </t>
  </si>
  <si>
    <t>เงินรับฝากค่าใช้จ่ายในการจัดเก็บภาษีบำรุงท้องที่ 5%</t>
  </si>
  <si>
    <t xml:space="preserve">21040004  </t>
  </si>
  <si>
    <t>เงินรับฝากประกันสัญญา</t>
  </si>
  <si>
    <t xml:space="preserve">21040008  </t>
  </si>
  <si>
    <t xml:space="preserve">21040014  </t>
  </si>
  <si>
    <t xml:space="preserve">21040016  </t>
  </si>
  <si>
    <t>เงินรับฝากอื่นๆ เงินประกันมาตรวัดน้ำ</t>
  </si>
  <si>
    <t xml:space="preserve">21040099  </t>
  </si>
  <si>
    <t>เจ้าหนี้เงินกู้เงินทุนส่งเสริมกิจการเทศบาล</t>
  </si>
  <si>
    <t xml:space="preserve">22012002  </t>
  </si>
  <si>
    <t xml:space="preserve">31000000  </t>
  </si>
  <si>
    <t xml:space="preserve">32000000  </t>
  </si>
  <si>
    <t>ลูกหนี้เงินทูนโครงการเศรษฐกิจชุมชน</t>
  </si>
  <si>
    <t>ภาษีโรงเรือนและที่ดิน</t>
  </si>
  <si>
    <t xml:space="preserve">41100001  </t>
  </si>
  <si>
    <t>ภาษีบำรุงท้องที่</t>
  </si>
  <si>
    <t xml:space="preserve">41100002  </t>
  </si>
  <si>
    <t>ภาษีป้าย</t>
  </si>
  <si>
    <t xml:space="preserve">41100003  </t>
  </si>
  <si>
    <t>อากรรังนกอีแอ่น</t>
  </si>
  <si>
    <t xml:space="preserve">41100005  </t>
  </si>
  <si>
    <t>ค่าธรรมเนียมเกี่ยวกับการควบคุมอาคาร</t>
  </si>
  <si>
    <t xml:space="preserve">41210007  </t>
  </si>
  <si>
    <t>ค่าธรรมเนียมเก็บและขนมูลฝอย</t>
  </si>
  <si>
    <t xml:space="preserve">41210008  </t>
  </si>
  <si>
    <t>ค่าธรรมเนียมเกี่ยวกับการตั้งสุสานและฌาปนสถาน</t>
  </si>
  <si>
    <t xml:space="preserve">41210011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</si>
  <si>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</si>
  <si>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</si>
  <si>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ค่าธรรมเนียมเกี่ยวกับทะเบียนราษฎร</t>
  </si>
  <si>
    <t xml:space="preserve">41210013  </t>
  </si>
  <si>
    <t>ค่าธรรมเนียมตามประมวลกฎหมายที่ดินมาตรา 9</t>
  </si>
  <si>
    <t xml:space="preserve">41210018  </t>
  </si>
  <si>
    <t>ค่าธรรมเนียมเกี่ยวกับทะเบียนพาณิชย์</t>
  </si>
  <si>
    <t xml:space="preserve">41210029  </t>
  </si>
  <si>
    <t>ค่าธรรมเนียมกำจัดขยะมูลฝอย</t>
  </si>
  <si>
    <t xml:space="preserve">41210030  </t>
  </si>
  <si>
    <t>ค่าธรรมเนียมเกี่ยวกับการประกอบกิจการน้ำมันเชื้อเพลิง</t>
  </si>
  <si>
    <t xml:space="preserve">41210033  </t>
  </si>
  <si>
    <t>ค่าปรับผู้กระทำผิดกฎหมายจราจรทางบก</t>
  </si>
  <si>
    <t xml:space="preserve">41220002  </t>
  </si>
  <si>
    <t>ค่าปรับการผิดสัญญา</t>
  </si>
  <si>
    <t xml:space="preserve">41220010  </t>
  </si>
  <si>
    <t>ค่าใบอนุญาตประกอบการค้าสำหรับกิจการที่เป็นอันตรายต่อสุขภาพ</t>
  </si>
  <si>
    <t xml:space="preserve">41230003  </t>
  </si>
  <si>
    <t>ค่าใบอนุญาตเกี่ยวกับการควบคุมอาคาร</t>
  </si>
  <si>
    <t xml:space="preserve">41230007  </t>
  </si>
  <si>
    <t xml:space="preserve">41300003  </t>
  </si>
  <si>
    <t>รายได้จากทรัพย์สินอื่น ๆ</t>
  </si>
  <si>
    <t xml:space="preserve">41399999  </t>
  </si>
  <si>
    <t xml:space="preserve">41400006  </t>
  </si>
  <si>
    <t>ค่าขายแบบแปลน</t>
  </si>
  <si>
    <t xml:space="preserve">41500004  </t>
  </si>
  <si>
    <t>รายได้เบ็ดเตล็ดอื่นๆ</t>
  </si>
  <si>
    <t xml:space="preserve">41599999  </t>
  </si>
  <si>
    <t>ภาษีและค่าธรรมเนียมรถยนต์และล้อเลื่อน</t>
  </si>
  <si>
    <t xml:space="preserve">42100001  </t>
  </si>
  <si>
    <t>ภาษีมูลค่าเพิ่มตาม พ.ร.บ. กำหนดแผนฯ</t>
  </si>
  <si>
    <t xml:space="preserve">42100002  </t>
  </si>
  <si>
    <t>ภาษีมูลค่าเพิ่มตาม พ.ร.บ. จัดสรรรายได้ฯ</t>
  </si>
  <si>
    <t xml:space="preserve">42100004  </t>
  </si>
  <si>
    <t>ภาษีธุรกิจเฉพาะ</t>
  </si>
  <si>
    <t xml:space="preserve">42100005  </t>
  </si>
  <si>
    <t>ภาษีสรรพสามิต</t>
  </si>
  <si>
    <t xml:space="preserve">42100007  </t>
  </si>
  <si>
    <t>ค่าภาคหลวงแร่</t>
  </si>
  <si>
    <t xml:space="preserve">42100012  </t>
  </si>
  <si>
    <t>ค่าภาคหลวงปิโตรเลียม</t>
  </si>
  <si>
    <t xml:space="preserve">42100013  </t>
  </si>
  <si>
    <t>ค่าธรรมเนียมจดทะเบียนสิทธิและนิติกรรมตามประมวลกฎหมายที่ดิน</t>
  </si>
  <si>
    <t xml:space="preserve">42100015  </t>
  </si>
  <si>
    <t>ภาษีจัดสรรอื่นๆ</t>
  </si>
  <si>
    <t xml:space="preserve">42199999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</si>
  <si>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</si>
  <si>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</si>
  <si>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</si>
  <si>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</si>
  <si>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>เงินอุดหนุนระบุวัตถุประสงค์/เฉพาะกิจจากหน่วยงานอื่น</t>
  </si>
  <si>
    <t xml:space="preserve">44100002  </t>
  </si>
  <si>
    <t xml:space="preserve">51100000  </t>
  </si>
  <si>
    <t>เงินเดือน (ฝ่ายการเมือง)</t>
  </si>
  <si>
    <t xml:space="preserve">52100000  </t>
  </si>
  <si>
    <t>เงินเดือน (ฝ่ายประจำ)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</si>
  <si>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</si>
  <si>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</si>
  <si>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</si>
  <si>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</si>
  <si>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</si>
  <si>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</si>
  <si>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</si>
  <si>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</si>
  <si>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ยอดยกมาจากปีงบประมาณ 2561</t>
  </si>
  <si>
    <t>เงินเดือนพนักงาน</t>
  </si>
  <si>
    <t>เงินสมทบกองทุนบำเหน็จฯ</t>
  </si>
  <si>
    <t>ค่าปรับผิดสัญญา</t>
  </si>
  <si>
    <t>(นางฐิติพร   พ่วงแสง)</t>
  </si>
  <si>
    <t>นอก</t>
  </si>
  <si>
    <t>ตาม</t>
  </si>
  <si>
    <t>เก็บยอดจากงบสามเดือน</t>
  </si>
</sst>
</file>

<file path=xl/styles.xml><?xml version="1.0" encoding="utf-8"?>
<styleSheet xmlns="http://schemas.openxmlformats.org/spreadsheetml/2006/main">
  <numFmts count="30">
    <numFmt numFmtId="43" formatCode="_-* #,##0.00_-;\-* #,##0.00_-;_-* &quot;-&quot;??_-;_-@_-"/>
    <numFmt numFmtId="187" formatCode="_(* #,##0.00_);_(* \(#,##0.00\);_(* &quot;-&quot;??_);_(@_)"/>
    <numFmt numFmtId="189" formatCode="00\4\10"/>
    <numFmt numFmtId="190" formatCode="00\4\1\1"/>
    <numFmt numFmtId="191" formatCode="00\1\10"/>
    <numFmt numFmtId="192" formatCode="00\1\1\1"/>
    <numFmt numFmtId="193" formatCode="00\1\1\3"/>
    <numFmt numFmtId="194" formatCode="00\2\40"/>
    <numFmt numFmtId="195" formatCode="00\2\4\1"/>
    <numFmt numFmtId="196" formatCode="00\2\4\2"/>
    <numFmt numFmtId="197" formatCode="00\2\10"/>
    <numFmt numFmtId="198" formatCode="00\2\1\1"/>
    <numFmt numFmtId="199" formatCode="00\2\1\2"/>
    <numFmt numFmtId="200" formatCode="00\2\1\4"/>
    <numFmt numFmtId="201" formatCode="00\2\30"/>
    <numFmt numFmtId="202" formatCode="00\2\3\1"/>
    <numFmt numFmtId="203" formatCode="00\2\50"/>
    <numFmt numFmtId="204" formatCode="00\2\5\2"/>
    <numFmt numFmtId="205" formatCode="00\3\30"/>
    <numFmt numFmtId="206" formatCode="00\3\3\2"/>
    <numFmt numFmtId="207" formatCode="00\1\20"/>
    <numFmt numFmtId="208" formatCode="00\1\2\1"/>
    <numFmt numFmtId="209" formatCode="00\2\20"/>
    <numFmt numFmtId="210" formatCode="00\2"/>
    <numFmt numFmtId="211" formatCode="_-* #,##0_-;\-* #,##0_-;_-* &quot;-&quot;??_-;_-@_-"/>
    <numFmt numFmtId="212" formatCode="00\2\2\3"/>
    <numFmt numFmtId="213" formatCode="00\1\2\3"/>
    <numFmt numFmtId="214" formatCode="00\2\3\2"/>
    <numFmt numFmtId="215" formatCode="_-* #,##0.0_-;\-* #,##0.0_-;_-* &quot;-&quot;??_-;_-@_-"/>
    <numFmt numFmtId="226" formatCode="[$-1041E]#,##0.00;\(#,##0.00\);&quot;-&quot;"/>
  </numFmts>
  <fonts count="32">
    <font>
      <sz val="10"/>
      <name val="Arial"/>
      <charset val="222"/>
    </font>
    <font>
      <sz val="10"/>
      <name val="Arial"/>
      <charset val="222"/>
    </font>
    <font>
      <sz val="16"/>
      <name val="Angsana New"/>
      <family val="1"/>
    </font>
    <font>
      <sz val="8"/>
      <name val="Arial"/>
      <family val="2"/>
    </font>
    <font>
      <b/>
      <sz val="16"/>
      <name val="Angsana New"/>
      <family val="1"/>
    </font>
    <font>
      <u/>
      <sz val="16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1"/>
      <name val="Angsana New"/>
      <family val="1"/>
    </font>
    <font>
      <b/>
      <sz val="18"/>
      <name val="Angsana New"/>
      <family val="1"/>
    </font>
    <font>
      <b/>
      <sz val="10"/>
      <name val="Arial"/>
      <family val="2"/>
    </font>
    <font>
      <b/>
      <u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9"/>
      <name val="AngsanaUPC"/>
      <family val="1"/>
      <charset val="222"/>
    </font>
    <font>
      <sz val="11"/>
      <name val="AngsanaUPC"/>
      <family val="1"/>
      <charset val="222"/>
    </font>
    <font>
      <sz val="9"/>
      <name val="Angsana New"/>
      <family val="1"/>
    </font>
    <font>
      <sz val="10"/>
      <name val="Angsana New"/>
      <family val="1"/>
    </font>
    <font>
      <sz val="10"/>
      <name val="AngsanaUPC"/>
      <family val="1"/>
      <charset val="222"/>
    </font>
    <font>
      <sz val="16"/>
      <color indexed="10"/>
      <name val="Angsana New"/>
      <family val="1"/>
    </font>
    <font>
      <sz val="8"/>
      <name val="Angsana New"/>
      <family val="1"/>
    </font>
    <font>
      <sz val="10"/>
      <name val="Arial"/>
      <family val="2"/>
    </font>
    <font>
      <sz val="14"/>
      <name val="Arial"/>
      <family val="2"/>
    </font>
    <font>
      <u/>
      <sz val="14"/>
      <name val="Angsana New"/>
      <family val="1"/>
    </font>
    <font>
      <sz val="7"/>
      <name val="Angsana New"/>
      <family val="1"/>
    </font>
    <font>
      <sz val="8"/>
      <name val="AngsanaUPC"/>
      <family val="1"/>
      <charset val="222"/>
    </font>
    <font>
      <sz val="10"/>
      <color rgb="FFFF0000"/>
      <name val="Angsana New"/>
      <family val="1"/>
    </font>
    <font>
      <sz val="11"/>
      <color rgb="FFFF0000"/>
      <name val="Angsana New"/>
      <family val="1"/>
    </font>
    <font>
      <sz val="14"/>
      <color theme="1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sz val="12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indexed="64"/>
      </bottom>
      <diagonal/>
    </border>
    <border>
      <left/>
      <right/>
      <top style="thin">
        <color rgb="FFA9A9A9"/>
      </top>
      <bottom style="thin">
        <color indexed="64"/>
      </bottom>
      <diagonal/>
    </border>
    <border>
      <left style="thin">
        <color rgb="FFA9A9A9"/>
      </left>
      <right/>
      <top style="thin">
        <color indexed="64"/>
      </top>
      <bottom style="thin">
        <color rgb="FFA9A9A9"/>
      </bottom>
      <diagonal/>
    </border>
    <border>
      <left/>
      <right/>
      <top style="thin">
        <color indexed="64"/>
      </top>
      <bottom style="thin">
        <color rgb="FFA9A9A9"/>
      </bottom>
      <diagonal/>
    </border>
    <border>
      <left/>
      <right style="thin">
        <color indexed="64"/>
      </right>
      <top style="thin">
        <color indexed="64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Border="1"/>
    <xf numFmtId="43" fontId="2" fillId="0" borderId="0" xfId="1" applyFont="1" applyBorder="1"/>
    <xf numFmtId="0" fontId="4" fillId="0" borderId="0" xfId="0" applyFont="1" applyBorder="1" applyAlignment="1">
      <alignment horizontal="center"/>
    </xf>
    <xf numFmtId="43" fontId="2" fillId="0" borderId="6" xfId="1" applyFont="1" applyBorder="1"/>
    <xf numFmtId="0" fontId="2" fillId="0" borderId="3" xfId="0" applyFont="1" applyBorder="1" applyAlignment="1">
      <alignment horizontal="left"/>
    </xf>
    <xf numFmtId="43" fontId="2" fillId="0" borderId="0" xfId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2" fillId="0" borderId="7" xfId="1" applyFont="1" applyBorder="1"/>
    <xf numFmtId="43" fontId="2" fillId="0" borderId="8" xfId="1" applyFont="1" applyBorder="1"/>
    <xf numFmtId="43" fontId="2" fillId="0" borderId="0" xfId="0" applyNumberFormat="1" applyFont="1"/>
    <xf numFmtId="0" fontId="6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211" fontId="7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11" fontId="2" fillId="0" borderId="0" xfId="1" applyNumberFormat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210" fontId="2" fillId="0" borderId="9" xfId="0" applyNumberFormat="1" applyFont="1" applyBorder="1" applyAlignment="1">
      <alignment horizontal="left"/>
    </xf>
    <xf numFmtId="211" fontId="2" fillId="0" borderId="3" xfId="1" applyNumberFormat="1" applyFont="1" applyBorder="1" applyAlignment="1">
      <alignment horizontal="left"/>
    </xf>
    <xf numFmtId="43" fontId="2" fillId="0" borderId="3" xfId="1" applyFont="1" applyBorder="1" applyAlignment="1">
      <alignment horizontal="left"/>
    </xf>
    <xf numFmtId="190" fontId="4" fillId="0" borderId="1" xfId="0" applyNumberFormat="1" applyFont="1" applyBorder="1" applyAlignment="1">
      <alignment horizontal="center"/>
    </xf>
    <xf numFmtId="192" fontId="4" fillId="0" borderId="1" xfId="0" applyNumberFormat="1" applyFont="1" applyBorder="1" applyAlignment="1">
      <alignment horizontal="center"/>
    </xf>
    <xf numFmtId="43" fontId="2" fillId="0" borderId="10" xfId="1" applyFont="1" applyBorder="1" applyAlignment="1">
      <alignment horizontal="left"/>
    </xf>
    <xf numFmtId="43" fontId="8" fillId="0" borderId="1" xfId="1" applyNumberFormat="1" applyFont="1" applyFill="1" applyBorder="1"/>
    <xf numFmtId="0" fontId="7" fillId="0" borderId="0" xfId="0" applyFont="1" applyFill="1"/>
    <xf numFmtId="0" fontId="6" fillId="0" borderId="0" xfId="0" applyFont="1" applyFill="1"/>
    <xf numFmtId="43" fontId="7" fillId="0" borderId="0" xfId="1" applyFont="1" applyFill="1" applyBorder="1"/>
    <xf numFmtId="211" fontId="7" fillId="0" borderId="0" xfId="1" applyNumberFormat="1" applyFont="1" applyFill="1" applyBorder="1"/>
    <xf numFmtId="190" fontId="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left" vertical="center"/>
    </xf>
    <xf numFmtId="189" fontId="6" fillId="0" borderId="0" xfId="0" applyNumberFormat="1" applyFont="1" applyFill="1" applyBorder="1" applyAlignment="1">
      <alignment horizontal="center"/>
    </xf>
    <xf numFmtId="205" fontId="6" fillId="0" borderId="0" xfId="0" applyNumberFormat="1" applyFont="1" applyFill="1" applyBorder="1" applyAlignment="1">
      <alignment horizontal="center"/>
    </xf>
    <xf numFmtId="207" fontId="6" fillId="0" borderId="0" xfId="0" applyNumberFormat="1" applyFont="1" applyFill="1" applyBorder="1" applyAlignment="1">
      <alignment horizontal="center"/>
    </xf>
    <xf numFmtId="209" fontId="6" fillId="0" borderId="0" xfId="0" applyNumberFormat="1" applyFont="1" applyFill="1" applyBorder="1" applyAlignment="1">
      <alignment horizontal="center"/>
    </xf>
    <xf numFmtId="190" fontId="6" fillId="0" borderId="0" xfId="0" applyNumberFormat="1" applyFont="1" applyFill="1" applyBorder="1" applyAlignment="1">
      <alignment horizontal="center"/>
    </xf>
    <xf numFmtId="192" fontId="6" fillId="0" borderId="0" xfId="0" applyNumberFormat="1" applyFont="1" applyFill="1" applyBorder="1" applyAlignment="1">
      <alignment horizontal="center"/>
    </xf>
    <xf numFmtId="193" fontId="6" fillId="0" borderId="0" xfId="0" applyNumberFormat="1" applyFont="1" applyFill="1" applyBorder="1" applyAlignment="1">
      <alignment horizontal="center"/>
    </xf>
    <xf numFmtId="206" fontId="6" fillId="0" borderId="0" xfId="0" applyNumberFormat="1" applyFont="1" applyFill="1" applyBorder="1" applyAlignment="1">
      <alignment horizontal="center"/>
    </xf>
    <xf numFmtId="213" fontId="6" fillId="0" borderId="0" xfId="0" applyNumberFormat="1" applyFont="1" applyFill="1" applyBorder="1" applyAlignment="1">
      <alignment horizontal="center"/>
    </xf>
    <xf numFmtId="212" fontId="6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43" fontId="7" fillId="0" borderId="0" xfId="1" applyNumberFormat="1" applyFont="1" applyFill="1" applyBorder="1"/>
    <xf numFmtId="211" fontId="8" fillId="0" borderId="0" xfId="1" applyNumberFormat="1" applyFont="1" applyFill="1" applyBorder="1"/>
    <xf numFmtId="43" fontId="8" fillId="0" borderId="0" xfId="1" applyNumberFormat="1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211" fontId="7" fillId="0" borderId="0" xfId="1" applyNumberFormat="1" applyFont="1" applyFill="1" applyBorder="1" applyAlignment="1">
      <alignment horizontal="center"/>
    </xf>
    <xf numFmtId="211" fontId="7" fillId="0" borderId="0" xfId="1" applyNumberFormat="1" applyFont="1" applyFill="1" applyBorder="1" applyAlignment="1">
      <alignment horizontal="center" vertical="center"/>
    </xf>
    <xf numFmtId="43" fontId="7" fillId="0" borderId="0" xfId="1" applyNumberFormat="1" applyFont="1" applyFill="1" applyBorder="1" applyAlignment="1">
      <alignment horizontal="center" vertical="center"/>
    </xf>
    <xf numFmtId="190" fontId="7" fillId="0" borderId="0" xfId="0" applyNumberFormat="1" applyFont="1" applyFill="1" applyBorder="1" applyAlignment="1">
      <alignment horizontal="center"/>
    </xf>
    <xf numFmtId="192" fontId="7" fillId="0" borderId="0" xfId="0" applyNumberFormat="1" applyFont="1" applyFill="1" applyBorder="1" applyAlignment="1">
      <alignment horizontal="center"/>
    </xf>
    <xf numFmtId="193" fontId="7" fillId="0" borderId="0" xfId="0" applyNumberFormat="1" applyFont="1" applyFill="1" applyBorder="1" applyAlignment="1">
      <alignment horizontal="center"/>
    </xf>
    <xf numFmtId="195" fontId="7" fillId="0" borderId="0" xfId="0" applyNumberFormat="1" applyFont="1" applyFill="1" applyBorder="1" applyAlignment="1">
      <alignment horizontal="center"/>
    </xf>
    <xf numFmtId="198" fontId="7" fillId="0" borderId="0" xfId="0" applyNumberFormat="1" applyFont="1" applyFill="1" applyBorder="1" applyAlignment="1">
      <alignment horizontal="center"/>
    </xf>
    <xf numFmtId="199" fontId="7" fillId="0" borderId="0" xfId="0" applyNumberFormat="1" applyFont="1" applyFill="1" applyBorder="1" applyAlignment="1">
      <alignment horizontal="center"/>
    </xf>
    <xf numFmtId="200" fontId="7" fillId="0" borderId="0" xfId="0" applyNumberFormat="1" applyFont="1" applyFill="1" applyBorder="1" applyAlignment="1">
      <alignment horizontal="center"/>
    </xf>
    <xf numFmtId="214" fontId="7" fillId="0" borderId="0" xfId="0" applyNumberFormat="1" applyFont="1" applyFill="1" applyBorder="1" applyAlignment="1">
      <alignment horizontal="center"/>
    </xf>
    <xf numFmtId="204" fontId="7" fillId="0" borderId="0" xfId="0" applyNumberFormat="1" applyFont="1" applyFill="1" applyBorder="1" applyAlignment="1">
      <alignment horizontal="center"/>
    </xf>
    <xf numFmtId="208" fontId="7" fillId="0" borderId="0" xfId="0" applyNumberFormat="1" applyFont="1" applyFill="1" applyBorder="1" applyAlignment="1">
      <alignment horizontal="center"/>
    </xf>
    <xf numFmtId="212" fontId="7" fillId="0" borderId="0" xfId="0" applyNumberFormat="1" applyFont="1" applyFill="1" applyBorder="1" applyAlignment="1">
      <alignment horizontal="center"/>
    </xf>
    <xf numFmtId="43" fontId="8" fillId="0" borderId="1" xfId="1" applyFont="1" applyFill="1" applyBorder="1"/>
    <xf numFmtId="43" fontId="8" fillId="0" borderId="1" xfId="1" applyFont="1" applyFill="1" applyBorder="1" applyAlignment="1">
      <alignment horizontal="center"/>
    </xf>
    <xf numFmtId="43" fontId="8" fillId="0" borderId="0" xfId="1" applyFont="1" applyFill="1" applyBorder="1"/>
    <xf numFmtId="190" fontId="4" fillId="0" borderId="0" xfId="0" applyNumberFormat="1" applyFont="1" applyBorder="1" applyAlignment="1">
      <alignment horizontal="center"/>
    </xf>
    <xf numFmtId="192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92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left" vertical="center"/>
    </xf>
    <xf numFmtId="210" fontId="11" fillId="0" borderId="0" xfId="0" applyNumberFormat="1" applyFont="1" applyBorder="1" applyAlignment="1">
      <alignment horizontal="left"/>
    </xf>
    <xf numFmtId="210" fontId="2" fillId="0" borderId="0" xfId="0" applyNumberFormat="1" applyFont="1" applyBorder="1" applyAlignment="1">
      <alignment horizontal="left"/>
    </xf>
    <xf numFmtId="43" fontId="2" fillId="0" borderId="0" xfId="1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4" fillId="0" borderId="2" xfId="0" applyFont="1" applyBorder="1"/>
    <xf numFmtId="189" fontId="14" fillId="0" borderId="1" xfId="0" applyNumberFormat="1" applyFont="1" applyBorder="1" applyAlignment="1">
      <alignment horizontal="center"/>
    </xf>
    <xf numFmtId="207" fontId="14" fillId="0" borderId="1" xfId="0" applyNumberFormat="1" applyFont="1" applyBorder="1" applyAlignment="1">
      <alignment horizontal="center"/>
    </xf>
    <xf numFmtId="194" fontId="14" fillId="0" borderId="11" xfId="0" applyNumberFormat="1" applyFont="1" applyBorder="1" applyAlignment="1">
      <alignment horizontal="center"/>
    </xf>
    <xf numFmtId="197" fontId="14" fillId="0" borderId="1" xfId="0" applyNumberFormat="1" applyFont="1" applyBorder="1" applyAlignment="1"/>
    <xf numFmtId="197" fontId="14" fillId="0" borderId="12" xfId="0" applyNumberFormat="1" applyFont="1" applyBorder="1" applyAlignment="1">
      <alignment horizontal="center"/>
    </xf>
    <xf numFmtId="203" fontId="14" fillId="0" borderId="1" xfId="0" applyNumberFormat="1" applyFont="1" applyBorder="1" applyAlignment="1">
      <alignment horizontal="center"/>
    </xf>
    <xf numFmtId="209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190" fontId="14" fillId="0" borderId="1" xfId="0" applyNumberFormat="1" applyFont="1" applyBorder="1" applyAlignment="1">
      <alignment horizontal="center"/>
    </xf>
    <xf numFmtId="192" fontId="14" fillId="0" borderId="1" xfId="0" applyNumberFormat="1" applyFont="1" applyBorder="1" applyAlignment="1">
      <alignment horizontal="center"/>
    </xf>
    <xf numFmtId="193" fontId="14" fillId="0" borderId="1" xfId="0" applyNumberFormat="1" applyFont="1" applyBorder="1" applyAlignment="1">
      <alignment horizontal="center"/>
    </xf>
    <xf numFmtId="213" fontId="14" fillId="0" borderId="1" xfId="0" applyNumberFormat="1" applyFont="1" applyBorder="1" applyAlignment="1">
      <alignment horizontal="center"/>
    </xf>
    <xf numFmtId="196" fontId="14" fillId="0" borderId="1" xfId="0" applyNumberFormat="1" applyFont="1" applyBorder="1" applyAlignment="1">
      <alignment horizontal="center"/>
    </xf>
    <xf numFmtId="198" fontId="14" fillId="0" borderId="1" xfId="0" applyNumberFormat="1" applyFont="1" applyBorder="1" applyAlignment="1">
      <alignment horizontal="center"/>
    </xf>
    <xf numFmtId="199" fontId="14" fillId="0" borderId="1" xfId="0" applyNumberFormat="1" applyFont="1" applyBorder="1" applyAlignment="1">
      <alignment horizontal="center"/>
    </xf>
    <xf numFmtId="200" fontId="14" fillId="0" borderId="1" xfId="0" applyNumberFormat="1" applyFont="1" applyBorder="1" applyAlignment="1">
      <alignment horizontal="center"/>
    </xf>
    <xf numFmtId="202" fontId="14" fillId="0" borderId="1" xfId="0" applyNumberFormat="1" applyFont="1" applyBorder="1" applyAlignment="1">
      <alignment horizontal="center"/>
    </xf>
    <xf numFmtId="204" fontId="14" fillId="0" borderId="1" xfId="0" applyNumberFormat="1" applyFont="1" applyBorder="1" applyAlignment="1">
      <alignment horizontal="center"/>
    </xf>
    <xf numFmtId="206" fontId="14" fillId="0" borderId="1" xfId="0" applyNumberFormat="1" applyFont="1" applyBorder="1" applyAlignment="1">
      <alignment horizontal="center"/>
    </xf>
    <xf numFmtId="212" fontId="14" fillId="0" borderId="1" xfId="0" applyNumberFormat="1" applyFont="1" applyBorder="1" applyAlignment="1">
      <alignment horizontal="center"/>
    </xf>
    <xf numFmtId="43" fontId="14" fillId="0" borderId="1" xfId="1" applyNumberFormat="1" applyFont="1" applyFill="1" applyBorder="1"/>
    <xf numFmtId="43" fontId="14" fillId="0" borderId="1" xfId="1" applyFont="1" applyFill="1" applyBorder="1"/>
    <xf numFmtId="43" fontId="14" fillId="0" borderId="1" xfId="1" applyFont="1" applyBorder="1"/>
    <xf numFmtId="0" fontId="14" fillId="0" borderId="1" xfId="0" applyFont="1" applyBorder="1" applyAlignment="1">
      <alignment horizontal="center"/>
    </xf>
    <xf numFmtId="211" fontId="14" fillId="0" borderId="1" xfId="1" applyNumberFormat="1" applyFont="1" applyFill="1" applyBorder="1"/>
    <xf numFmtId="0" fontId="14" fillId="0" borderId="0" xfId="0" applyFont="1" applyBorder="1" applyAlignment="1">
      <alignment horizontal="center"/>
    </xf>
    <xf numFmtId="43" fontId="14" fillId="0" borderId="0" xfId="1" applyFont="1" applyFill="1" applyBorder="1"/>
    <xf numFmtId="211" fontId="14" fillId="0" borderId="0" xfId="1" applyNumberFormat="1" applyFont="1" applyFill="1" applyBorder="1"/>
    <xf numFmtId="43" fontId="14" fillId="0" borderId="0" xfId="1" applyFont="1" applyBorder="1"/>
    <xf numFmtId="187" fontId="14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Border="1"/>
    <xf numFmtId="43" fontId="2" fillId="0" borderId="3" xfId="1" applyFont="1" applyFill="1" applyBorder="1"/>
    <xf numFmtId="43" fontId="2" fillId="0" borderId="1" xfId="1" applyFont="1" applyFill="1" applyBorder="1"/>
    <xf numFmtId="43" fontId="2" fillId="0" borderId="0" xfId="1" applyFont="1" applyFill="1"/>
    <xf numFmtId="43" fontId="7" fillId="0" borderId="0" xfId="0" applyNumberFormat="1" applyFont="1"/>
    <xf numFmtId="43" fontId="2" fillId="0" borderId="0" xfId="1" applyFont="1" applyFill="1" applyBorder="1"/>
    <xf numFmtId="189" fontId="8" fillId="0" borderId="1" xfId="0" applyNumberFormat="1" applyFont="1" applyFill="1" applyBorder="1" applyAlignment="1">
      <alignment horizontal="center"/>
    </xf>
    <xf numFmtId="213" fontId="16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206" fontId="8" fillId="0" borderId="1" xfId="0" applyNumberFormat="1" applyFont="1" applyFill="1" applyBorder="1" applyAlignment="1">
      <alignment horizontal="center"/>
    </xf>
    <xf numFmtId="43" fontId="19" fillId="0" borderId="0" xfId="1" applyFont="1"/>
    <xf numFmtId="43" fontId="2" fillId="0" borderId="2" xfId="1" applyFont="1" applyFill="1" applyBorder="1"/>
    <xf numFmtId="43" fontId="2" fillId="0" borderId="4" xfId="1" applyFont="1" applyFill="1" applyBorder="1"/>
    <xf numFmtId="43" fontId="2" fillId="0" borderId="0" xfId="1" applyNumberFormat="1" applyFont="1"/>
    <xf numFmtId="0" fontId="2" fillId="0" borderId="0" xfId="0" applyNumberFormat="1" applyFont="1" applyFill="1" applyBorder="1" applyAlignment="1">
      <alignment horizontal="center"/>
    </xf>
    <xf numFmtId="43" fontId="2" fillId="0" borderId="13" xfId="1" applyFont="1" applyFill="1" applyBorder="1"/>
    <xf numFmtId="43" fontId="6" fillId="0" borderId="0" xfId="1" applyFont="1" applyFill="1"/>
    <xf numFmtId="43" fontId="6" fillId="0" borderId="0" xfId="0" applyNumberFormat="1" applyFont="1" applyFill="1"/>
    <xf numFmtId="0" fontId="0" fillId="0" borderId="0" xfId="0" applyFill="1"/>
    <xf numFmtId="0" fontId="7" fillId="0" borderId="2" xfId="0" applyFont="1" applyFill="1" applyBorder="1"/>
    <xf numFmtId="194" fontId="8" fillId="0" borderId="11" xfId="0" applyNumberFormat="1" applyFont="1" applyFill="1" applyBorder="1" applyAlignment="1">
      <alignment horizontal="center"/>
    </xf>
    <xf numFmtId="203" fontId="8" fillId="0" borderId="1" xfId="0" applyNumberFormat="1" applyFont="1" applyFill="1" applyBorder="1" applyAlignment="1">
      <alignment horizontal="center"/>
    </xf>
    <xf numFmtId="209" fontId="8" fillId="0" borderId="2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190" fontId="8" fillId="0" borderId="1" xfId="0" applyNumberFormat="1" applyFont="1" applyFill="1" applyBorder="1" applyAlignment="1">
      <alignment horizontal="center"/>
    </xf>
    <xf numFmtId="192" fontId="8" fillId="0" borderId="1" xfId="0" applyNumberFormat="1" applyFont="1" applyFill="1" applyBorder="1" applyAlignment="1">
      <alignment horizontal="center"/>
    </xf>
    <xf numFmtId="196" fontId="16" fillId="0" borderId="1" xfId="0" applyNumberFormat="1" applyFont="1" applyFill="1" applyBorder="1" applyAlignment="1">
      <alignment horizontal="center"/>
    </xf>
    <xf numFmtId="198" fontId="16" fillId="0" borderId="1" xfId="0" applyNumberFormat="1" applyFont="1" applyFill="1" applyBorder="1" applyAlignment="1">
      <alignment horizontal="center"/>
    </xf>
    <xf numFmtId="199" fontId="16" fillId="0" borderId="1" xfId="0" applyNumberFormat="1" applyFont="1" applyFill="1" applyBorder="1" applyAlignment="1">
      <alignment horizontal="center"/>
    </xf>
    <xf numFmtId="200" fontId="8" fillId="0" borderId="1" xfId="0" applyNumberFormat="1" applyFont="1" applyFill="1" applyBorder="1" applyAlignment="1">
      <alignment horizontal="center"/>
    </xf>
    <xf numFmtId="202" fontId="8" fillId="0" borderId="1" xfId="0" applyNumberFormat="1" applyFont="1" applyFill="1" applyBorder="1" applyAlignment="1">
      <alignment horizontal="center"/>
    </xf>
    <xf numFmtId="204" fontId="8" fillId="0" borderId="1" xfId="0" applyNumberFormat="1" applyFont="1" applyFill="1" applyBorder="1" applyAlignment="1">
      <alignment horizontal="center"/>
    </xf>
    <xf numFmtId="212" fontId="8" fillId="0" borderId="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201" fontId="6" fillId="0" borderId="0" xfId="0" applyNumberFormat="1" applyFont="1" applyFill="1" applyBorder="1" applyAlignment="1">
      <alignment horizontal="center"/>
    </xf>
    <xf numFmtId="20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95" fontId="6" fillId="0" borderId="0" xfId="0" applyNumberFormat="1" applyFont="1" applyFill="1" applyBorder="1" applyAlignment="1">
      <alignment horizontal="center"/>
    </xf>
    <xf numFmtId="196" fontId="6" fillId="0" borderId="0" xfId="0" applyNumberFormat="1" applyFont="1" applyFill="1" applyBorder="1" applyAlignment="1">
      <alignment horizontal="center"/>
    </xf>
    <xf numFmtId="198" fontId="6" fillId="0" borderId="0" xfId="0" applyNumberFormat="1" applyFont="1" applyFill="1" applyBorder="1" applyAlignment="1">
      <alignment horizontal="center"/>
    </xf>
    <xf numFmtId="199" fontId="6" fillId="0" borderId="0" xfId="0" applyNumberFormat="1" applyFont="1" applyFill="1" applyBorder="1" applyAlignment="1">
      <alignment horizontal="center"/>
    </xf>
    <xf numFmtId="200" fontId="6" fillId="0" borderId="0" xfId="0" applyNumberFormat="1" applyFont="1" applyFill="1" applyBorder="1" applyAlignment="1">
      <alignment horizontal="center"/>
    </xf>
    <xf numFmtId="202" fontId="6" fillId="0" borderId="0" xfId="0" applyNumberFormat="1" applyFont="1" applyFill="1" applyBorder="1" applyAlignment="1">
      <alignment horizontal="center"/>
    </xf>
    <xf numFmtId="204" fontId="6" fillId="0" borderId="0" xfId="0" applyNumberFormat="1" applyFont="1" applyFill="1" applyBorder="1" applyAlignment="1">
      <alignment horizontal="center"/>
    </xf>
    <xf numFmtId="210" fontId="7" fillId="0" borderId="0" xfId="0" applyNumberFormat="1" applyFont="1" applyFill="1" applyBorder="1" applyAlignment="1">
      <alignment horizontal="center"/>
    </xf>
    <xf numFmtId="197" fontId="17" fillId="0" borderId="1" xfId="0" applyNumberFormat="1" applyFont="1" applyFill="1" applyBorder="1" applyAlignment="1">
      <alignment horizontal="center"/>
    </xf>
    <xf numFmtId="193" fontId="17" fillId="0" borderId="1" xfId="0" applyNumberFormat="1" applyFont="1" applyFill="1" applyBorder="1" applyAlignment="1">
      <alignment horizontal="center"/>
    </xf>
    <xf numFmtId="197" fontId="17" fillId="0" borderId="12" xfId="0" applyNumberFormat="1" applyFont="1" applyFill="1" applyBorder="1" applyAlignment="1">
      <alignment horizontal="center"/>
    </xf>
    <xf numFmtId="213" fontId="20" fillId="0" borderId="1" xfId="0" applyNumberFormat="1" applyFont="1" applyFill="1" applyBorder="1" applyAlignment="1">
      <alignment horizontal="center"/>
    </xf>
    <xf numFmtId="43" fontId="2" fillId="0" borderId="14" xfId="1" applyFont="1" applyFill="1" applyBorder="1"/>
    <xf numFmtId="214" fontId="6" fillId="0" borderId="0" xfId="0" applyNumberFormat="1" applyFont="1" applyFill="1" applyBorder="1" applyAlignment="1">
      <alignment horizontal="center"/>
    </xf>
    <xf numFmtId="43" fontId="7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2" fillId="0" borderId="9" xfId="1" applyFont="1" applyFill="1" applyBorder="1"/>
    <xf numFmtId="0" fontId="2" fillId="0" borderId="3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/>
    <xf numFmtId="43" fontId="2" fillId="0" borderId="0" xfId="0" applyNumberFormat="1" applyFont="1" applyFill="1" applyBorder="1"/>
    <xf numFmtId="0" fontId="2" fillId="0" borderId="0" xfId="0" applyFont="1" applyFill="1" applyBorder="1"/>
    <xf numFmtId="43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43" fontId="15" fillId="0" borderId="1" xfId="1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189" fontId="15" fillId="0" borderId="1" xfId="0" applyNumberFormat="1" applyFont="1" applyFill="1" applyBorder="1" applyAlignment="1">
      <alignment horizontal="center"/>
    </xf>
    <xf numFmtId="194" fontId="15" fillId="0" borderId="11" xfId="0" applyNumberFormat="1" applyFont="1" applyFill="1" applyBorder="1" applyAlignment="1">
      <alignment horizontal="center"/>
    </xf>
    <xf numFmtId="197" fontId="18" fillId="0" borderId="1" xfId="0" applyNumberFormat="1" applyFont="1" applyFill="1" applyBorder="1" applyAlignment="1"/>
    <xf numFmtId="197" fontId="15" fillId="0" borderId="12" xfId="0" applyNumberFormat="1" applyFont="1" applyFill="1" applyBorder="1" applyAlignment="1">
      <alignment horizontal="center"/>
    </xf>
    <xf numFmtId="203" fontId="15" fillId="0" borderId="1" xfId="0" applyNumberFormat="1" applyFont="1" applyFill="1" applyBorder="1" applyAlignment="1">
      <alignment horizontal="center"/>
    </xf>
    <xf numFmtId="209" fontId="15" fillId="0" borderId="1" xfId="0" applyNumberFormat="1" applyFont="1" applyFill="1" applyBorder="1" applyAlignment="1">
      <alignment horizontal="center"/>
    </xf>
    <xf numFmtId="190" fontId="15" fillId="0" borderId="1" xfId="0" applyNumberFormat="1" applyFont="1" applyFill="1" applyBorder="1" applyAlignment="1">
      <alignment horizontal="center"/>
    </xf>
    <xf numFmtId="192" fontId="15" fillId="0" borderId="1" xfId="0" applyNumberFormat="1" applyFont="1" applyFill="1" applyBorder="1" applyAlignment="1">
      <alignment horizontal="center"/>
    </xf>
    <xf numFmtId="193" fontId="15" fillId="0" borderId="1" xfId="0" applyNumberFormat="1" applyFont="1" applyFill="1" applyBorder="1" applyAlignment="1">
      <alignment horizontal="center"/>
    </xf>
    <xf numFmtId="213" fontId="18" fillId="0" borderId="1" xfId="0" applyNumberFormat="1" applyFont="1" applyFill="1" applyBorder="1" applyAlignment="1">
      <alignment horizontal="center"/>
    </xf>
    <xf numFmtId="196" fontId="14" fillId="0" borderId="1" xfId="0" applyNumberFormat="1" applyFont="1" applyFill="1" applyBorder="1" applyAlignment="1">
      <alignment horizontal="center"/>
    </xf>
    <xf numFmtId="198" fontId="18" fillId="0" borderId="1" xfId="0" applyNumberFormat="1" applyFont="1" applyFill="1" applyBorder="1" applyAlignment="1">
      <alignment horizontal="center"/>
    </xf>
    <xf numFmtId="199" fontId="14" fillId="0" borderId="1" xfId="0" applyNumberFormat="1" applyFont="1" applyFill="1" applyBorder="1" applyAlignment="1">
      <alignment horizontal="center"/>
    </xf>
    <xf numFmtId="200" fontId="15" fillId="0" borderId="1" xfId="0" applyNumberFormat="1" applyFont="1" applyFill="1" applyBorder="1" applyAlignment="1">
      <alignment horizontal="center"/>
    </xf>
    <xf numFmtId="202" fontId="15" fillId="0" borderId="1" xfId="0" applyNumberFormat="1" applyFont="1" applyFill="1" applyBorder="1" applyAlignment="1">
      <alignment horizontal="center"/>
    </xf>
    <xf numFmtId="204" fontId="15" fillId="0" borderId="1" xfId="0" applyNumberFormat="1" applyFont="1" applyFill="1" applyBorder="1" applyAlignment="1">
      <alignment horizontal="center"/>
    </xf>
    <xf numFmtId="206" fontId="15" fillId="0" borderId="1" xfId="0" applyNumberFormat="1" applyFont="1" applyFill="1" applyBorder="1" applyAlignment="1">
      <alignment horizontal="center"/>
    </xf>
    <xf numFmtId="213" fontId="14" fillId="0" borderId="1" xfId="0" applyNumberFormat="1" applyFont="1" applyFill="1" applyBorder="1" applyAlignment="1">
      <alignment horizontal="center"/>
    </xf>
    <xf numFmtId="212" fontId="18" fillId="0" borderId="1" xfId="0" applyNumberFormat="1" applyFont="1" applyFill="1" applyBorder="1" applyAlignment="1">
      <alignment horizontal="center"/>
    </xf>
    <xf numFmtId="43" fontId="4" fillId="0" borderId="10" xfId="1" applyFont="1" applyFill="1" applyBorder="1"/>
    <xf numFmtId="0" fontId="2" fillId="0" borderId="9" xfId="0" applyFont="1" applyFill="1" applyBorder="1"/>
    <xf numFmtId="0" fontId="4" fillId="0" borderId="3" xfId="0" applyFont="1" applyFill="1" applyBorder="1" applyAlignment="1">
      <alignment horizontal="center"/>
    </xf>
    <xf numFmtId="0" fontId="11" fillId="0" borderId="3" xfId="0" applyFont="1" applyFill="1" applyBorder="1"/>
    <xf numFmtId="0" fontId="4" fillId="0" borderId="1" xfId="0" applyFont="1" applyFill="1" applyBorder="1"/>
    <xf numFmtId="0" fontId="4" fillId="0" borderId="3" xfId="0" applyFont="1" applyFill="1" applyBorder="1"/>
    <xf numFmtId="211" fontId="2" fillId="0" borderId="0" xfId="1" applyNumberFormat="1" applyFont="1" applyFill="1"/>
    <xf numFmtId="0" fontId="4" fillId="0" borderId="2" xfId="0" applyFont="1" applyFill="1" applyBorder="1"/>
    <xf numFmtId="0" fontId="2" fillId="0" borderId="2" xfId="1" applyNumberFormat="1" applyFont="1" applyFill="1" applyBorder="1"/>
    <xf numFmtId="0" fontId="2" fillId="0" borderId="3" xfId="1" applyNumberFormat="1" applyFont="1" applyFill="1" applyBorder="1"/>
    <xf numFmtId="0" fontId="2" fillId="0" borderId="14" xfId="0" applyFont="1" applyFill="1" applyBorder="1"/>
    <xf numFmtId="43" fontId="2" fillId="0" borderId="5" xfId="1" applyFont="1" applyFill="1" applyBorder="1"/>
    <xf numFmtId="43" fontId="2" fillId="0" borderId="6" xfId="1" applyFont="1" applyFill="1" applyBorder="1"/>
    <xf numFmtId="43" fontId="0" fillId="0" borderId="0" xfId="0" applyNumberFormat="1" applyFill="1"/>
    <xf numFmtId="0" fontId="8" fillId="0" borderId="0" xfId="0" applyNumberFormat="1" applyFont="1" applyBorder="1" applyAlignment="1">
      <alignment horizontal="center"/>
    </xf>
    <xf numFmtId="43" fontId="2" fillId="0" borderId="0" xfId="1" applyNumberFormat="1" applyFont="1" applyBorder="1"/>
    <xf numFmtId="0" fontId="14" fillId="0" borderId="1" xfId="0" applyFont="1" applyBorder="1" applyAlignment="1">
      <alignment horizontal="right"/>
    </xf>
    <xf numFmtId="0" fontId="20" fillId="0" borderId="1" xfId="0" applyFont="1" applyFill="1" applyBorder="1" applyAlignment="1">
      <alignment horizontal="center"/>
    </xf>
    <xf numFmtId="43" fontId="2" fillId="0" borderId="14" xfId="1" applyFont="1" applyBorder="1"/>
    <xf numFmtId="0" fontId="13" fillId="0" borderId="0" xfId="0" applyFont="1" applyFill="1" applyAlignment="1">
      <alignment horizontal="center"/>
    </xf>
    <xf numFmtId="0" fontId="20" fillId="0" borderId="4" xfId="0" applyFont="1" applyFill="1" applyBorder="1" applyAlignment="1">
      <alignment horizontal="center"/>
    </xf>
    <xf numFmtId="43" fontId="8" fillId="0" borderId="4" xfId="1" applyNumberFormat="1" applyFont="1" applyFill="1" applyBorder="1"/>
    <xf numFmtId="0" fontId="2" fillId="0" borderId="3" xfId="0" applyFont="1" applyFill="1" applyBorder="1" applyAlignment="1">
      <alignment horizontal="left"/>
    </xf>
    <xf numFmtId="43" fontId="17" fillId="0" borderId="1" xfId="1" applyNumberFormat="1" applyFont="1" applyFill="1" applyBorder="1"/>
    <xf numFmtId="43" fontId="2" fillId="0" borderId="0" xfId="1" applyNumberFormat="1" applyFont="1" applyFill="1"/>
    <xf numFmtId="211" fontId="15" fillId="0" borderId="1" xfId="1" applyNumberFormat="1" applyFont="1" applyFill="1" applyBorder="1" applyAlignment="1">
      <alignment horizontal="center"/>
    </xf>
    <xf numFmtId="43" fontId="15" fillId="0" borderId="4" xfId="0" applyNumberFormat="1" applyFont="1" applyFill="1" applyBorder="1" applyAlignment="1">
      <alignment horizontal="center" vertical="center"/>
    </xf>
    <xf numFmtId="43" fontId="8" fillId="0" borderId="0" xfId="1" applyFont="1" applyFill="1"/>
    <xf numFmtId="0" fontId="4" fillId="0" borderId="14" xfId="0" applyFont="1" applyFill="1" applyBorder="1" applyAlignment="1">
      <alignment horizontal="center"/>
    </xf>
    <xf numFmtId="0" fontId="21" fillId="0" borderId="0" xfId="0" applyFont="1" applyFill="1"/>
    <xf numFmtId="211" fontId="2" fillId="0" borderId="0" xfId="0" applyNumberFormat="1" applyFont="1"/>
    <xf numFmtId="43" fontId="7" fillId="0" borderId="0" xfId="1" applyFont="1" applyFill="1"/>
    <xf numFmtId="43" fontId="2" fillId="0" borderId="0" xfId="1" applyFont="1" applyFill="1" applyBorder="1" applyAlignment="1">
      <alignment horizontal="left"/>
    </xf>
    <xf numFmtId="0" fontId="2" fillId="0" borderId="15" xfId="0" applyFont="1" applyFill="1" applyBorder="1"/>
    <xf numFmtId="43" fontId="2" fillId="0" borderId="15" xfId="1" applyFont="1" applyFill="1" applyBorder="1"/>
    <xf numFmtId="43" fontId="2" fillId="0" borderId="3" xfId="1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0" xfId="0" applyFont="1" applyFill="1" applyBorder="1" applyAlignment="1">
      <alignment horizontal="center"/>
    </xf>
    <xf numFmtId="43" fontId="15" fillId="0" borderId="0" xfId="1" applyFont="1" applyFill="1" applyBorder="1"/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3" fontId="6" fillId="0" borderId="2" xfId="1" applyFont="1" applyFill="1" applyBorder="1"/>
    <xf numFmtId="0" fontId="13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/>
    </xf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0" xfId="1" applyFont="1" applyFill="1" applyBorder="1"/>
    <xf numFmtId="43" fontId="6" fillId="0" borderId="16" xfId="1" applyFont="1" applyFill="1" applyBorder="1"/>
    <xf numFmtId="0" fontId="6" fillId="0" borderId="3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43" fontId="6" fillId="0" borderId="0" xfId="1" applyFont="1" applyFill="1" applyBorder="1"/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43" fontId="6" fillId="0" borderId="4" xfId="1" applyFont="1" applyFill="1" applyBorder="1"/>
    <xf numFmtId="43" fontId="6" fillId="0" borderId="17" xfId="1" applyFont="1" applyFill="1" applyBorder="1"/>
    <xf numFmtId="0" fontId="6" fillId="0" borderId="3" xfId="0" applyFont="1" applyFill="1" applyBorder="1"/>
    <xf numFmtId="0" fontId="13" fillId="0" borderId="9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6" fillId="0" borderId="4" xfId="0" applyNumberFormat="1" applyFont="1" applyFill="1" applyBorder="1"/>
    <xf numFmtId="0" fontId="6" fillId="0" borderId="4" xfId="0" applyFont="1" applyFill="1" applyBorder="1"/>
    <xf numFmtId="43" fontId="6" fillId="0" borderId="0" xfId="0" applyNumberFormat="1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4" fillId="0" borderId="3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23" fillId="0" borderId="0" xfId="0" applyFont="1"/>
    <xf numFmtId="0" fontId="2" fillId="0" borderId="14" xfId="0" applyFont="1" applyFill="1" applyBorder="1" applyAlignment="1">
      <alignment horizontal="center"/>
    </xf>
    <xf numFmtId="210" fontId="11" fillId="0" borderId="3" xfId="0" applyNumberFormat="1" applyFont="1" applyBorder="1" applyAlignment="1">
      <alignment horizontal="left"/>
    </xf>
    <xf numFmtId="210" fontId="2" fillId="0" borderId="3" xfId="0" applyNumberFormat="1" applyFont="1" applyBorder="1" applyAlignment="1">
      <alignment horizontal="left"/>
    </xf>
    <xf numFmtId="43" fontId="2" fillId="0" borderId="13" xfId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211" fontId="6" fillId="0" borderId="0" xfId="1" applyNumberFormat="1" applyFont="1" applyFill="1"/>
    <xf numFmtId="15" fontId="4" fillId="0" borderId="0" xfId="0" applyNumberFormat="1" applyFont="1" applyFill="1" applyBorder="1"/>
    <xf numFmtId="15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2" fillId="0" borderId="14" xfId="0" applyNumberFormat="1" applyFont="1" applyFill="1" applyBorder="1"/>
    <xf numFmtId="0" fontId="4" fillId="0" borderId="0" xfId="0" applyFont="1" applyFill="1" applyBorder="1" applyAlignment="1"/>
    <xf numFmtId="0" fontId="4" fillId="0" borderId="9" xfId="0" applyFont="1" applyFill="1" applyBorder="1" applyAlignment="1"/>
    <xf numFmtId="0" fontId="2" fillId="0" borderId="9" xfId="0" applyFont="1" applyFill="1" applyBorder="1" applyAlignment="1">
      <alignment horizontal="left"/>
    </xf>
    <xf numFmtId="0" fontId="15" fillId="0" borderId="4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13" fillId="0" borderId="14" xfId="0" applyFont="1" applyFill="1" applyBorder="1" applyAlignment="1">
      <alignment horizontal="center"/>
    </xf>
    <xf numFmtId="0" fontId="6" fillId="0" borderId="14" xfId="0" applyFont="1" applyFill="1" applyBorder="1"/>
    <xf numFmtId="43" fontId="6" fillId="0" borderId="14" xfId="1" applyFont="1" applyFill="1" applyBorder="1"/>
    <xf numFmtId="0" fontId="6" fillId="0" borderId="1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11" fillId="0" borderId="0" xfId="0" applyFont="1"/>
    <xf numFmtId="193" fontId="17" fillId="0" borderId="4" xfId="0" applyNumberFormat="1" applyFont="1" applyFill="1" applyBorder="1" applyAlignment="1">
      <alignment horizontal="center"/>
    </xf>
    <xf numFmtId="43" fontId="17" fillId="0" borderId="0" xfId="1" applyNumberFormat="1" applyFont="1" applyFill="1" applyBorder="1"/>
    <xf numFmtId="211" fontId="7" fillId="0" borderId="1" xfId="1" applyNumberFormat="1" applyFont="1" applyFill="1" applyBorder="1" applyAlignment="1">
      <alignment horizontal="center"/>
    </xf>
    <xf numFmtId="211" fontId="7" fillId="0" borderId="4" xfId="1" applyNumberFormat="1" applyFont="1" applyFill="1" applyBorder="1" applyAlignment="1">
      <alignment horizontal="center"/>
    </xf>
    <xf numFmtId="43" fontId="6" fillId="0" borderId="0" xfId="1" applyNumberFormat="1" applyFont="1" applyFill="1"/>
    <xf numFmtId="0" fontId="8" fillId="0" borderId="0" xfId="0" applyFont="1" applyFill="1"/>
    <xf numFmtId="43" fontId="8" fillId="0" borderId="0" xfId="0" applyNumberFormat="1" applyFont="1" applyFill="1"/>
    <xf numFmtId="0" fontId="8" fillId="0" borderId="4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6" fillId="0" borderId="1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215" fontId="7" fillId="0" borderId="0" xfId="1" applyNumberFormat="1" applyFont="1" applyFill="1" applyBorder="1"/>
    <xf numFmtId="43" fontId="2" fillId="0" borderId="4" xfId="1" applyFont="1" applyFill="1" applyBorder="1" applyAlignment="1">
      <alignment horizontal="left"/>
    </xf>
    <xf numFmtId="43" fontId="6" fillId="0" borderId="0" xfId="0" applyNumberFormat="1" applyFont="1"/>
    <xf numFmtId="0" fontId="11" fillId="0" borderId="3" xfId="0" applyFont="1" applyBorder="1" applyAlignment="1">
      <alignment horizontal="left"/>
    </xf>
    <xf numFmtId="0" fontId="2" fillId="0" borderId="18" xfId="0" applyFont="1" applyFill="1" applyBorder="1"/>
    <xf numFmtId="0" fontId="20" fillId="0" borderId="2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8" fillId="0" borderId="3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3" fontId="6" fillId="0" borderId="0" xfId="1" applyFont="1"/>
    <xf numFmtId="191" fontId="6" fillId="0" borderId="0" xfId="0" applyNumberFormat="1" applyFont="1" applyFill="1" applyBorder="1" applyAlignment="1">
      <alignment horizontal="center"/>
    </xf>
    <xf numFmtId="189" fontId="17" fillId="0" borderId="1" xfId="0" applyNumberFormat="1" applyFont="1" applyFill="1" applyBorder="1" applyAlignment="1">
      <alignment horizontal="center"/>
    </xf>
    <xf numFmtId="194" fontId="17" fillId="0" borderId="11" xfId="0" applyNumberFormat="1" applyFont="1" applyFill="1" applyBorder="1" applyAlignment="1">
      <alignment horizontal="center"/>
    </xf>
    <xf numFmtId="203" fontId="17" fillId="0" borderId="1" xfId="0" applyNumberFormat="1" applyFont="1" applyFill="1" applyBorder="1" applyAlignment="1">
      <alignment horizontal="center"/>
    </xf>
    <xf numFmtId="209" fontId="17" fillId="0" borderId="1" xfId="0" applyNumberFormat="1" applyFont="1" applyFill="1" applyBorder="1" applyAlignment="1">
      <alignment horizontal="center"/>
    </xf>
    <xf numFmtId="209" fontId="17" fillId="0" borderId="2" xfId="0" applyNumberFormat="1" applyFont="1" applyFill="1" applyBorder="1" applyAlignment="1">
      <alignment horizontal="center"/>
    </xf>
    <xf numFmtId="190" fontId="17" fillId="0" borderId="1" xfId="0" applyNumberFormat="1" applyFont="1" applyFill="1" applyBorder="1" applyAlignment="1">
      <alignment horizontal="center"/>
    </xf>
    <xf numFmtId="192" fontId="17" fillId="0" borderId="1" xfId="0" applyNumberFormat="1" applyFont="1" applyFill="1" applyBorder="1" applyAlignment="1">
      <alignment horizontal="center"/>
    </xf>
    <xf numFmtId="213" fontId="17" fillId="0" borderId="1" xfId="0" applyNumberFormat="1" applyFont="1" applyFill="1" applyBorder="1" applyAlignment="1">
      <alignment horizontal="center"/>
    </xf>
    <xf numFmtId="200" fontId="17" fillId="0" borderId="1" xfId="0" applyNumberFormat="1" applyFont="1" applyFill="1" applyBorder="1" applyAlignment="1">
      <alignment horizontal="center"/>
    </xf>
    <xf numFmtId="202" fontId="17" fillId="0" borderId="1" xfId="0" applyNumberFormat="1" applyFont="1" applyFill="1" applyBorder="1" applyAlignment="1">
      <alignment horizontal="center"/>
    </xf>
    <xf numFmtId="204" fontId="17" fillId="0" borderId="1" xfId="0" applyNumberFormat="1" applyFont="1" applyFill="1" applyBorder="1" applyAlignment="1">
      <alignment horizontal="center"/>
    </xf>
    <xf numFmtId="206" fontId="17" fillId="0" borderId="1" xfId="0" applyNumberFormat="1" applyFont="1" applyFill="1" applyBorder="1" applyAlignment="1">
      <alignment horizontal="center"/>
    </xf>
    <xf numFmtId="212" fontId="17" fillId="0" borderId="1" xfId="0" applyNumberFormat="1" applyFont="1" applyFill="1" applyBorder="1" applyAlignment="1">
      <alignment horizontal="center"/>
    </xf>
    <xf numFmtId="212" fontId="17" fillId="0" borderId="4" xfId="0" applyNumberFormat="1" applyFont="1" applyFill="1" applyBorder="1" applyAlignment="1">
      <alignment horizontal="center"/>
    </xf>
    <xf numFmtId="0" fontId="17" fillId="0" borderId="2" xfId="0" applyFont="1" applyFill="1" applyBorder="1"/>
    <xf numFmtId="0" fontId="17" fillId="0" borderId="4" xfId="0" applyFont="1" applyFill="1" applyBorder="1" applyAlignment="1">
      <alignment horizontal="right"/>
    </xf>
    <xf numFmtId="43" fontId="17" fillId="0" borderId="1" xfId="1" applyFont="1" applyFill="1" applyBorder="1"/>
    <xf numFmtId="211" fontId="17" fillId="0" borderId="1" xfId="1" applyNumberFormat="1" applyFont="1" applyFill="1" applyBorder="1"/>
    <xf numFmtId="0" fontId="17" fillId="0" borderId="0" xfId="0" applyFont="1" applyFill="1" applyBorder="1" applyAlignment="1">
      <alignment horizontal="center"/>
    </xf>
    <xf numFmtId="211" fontId="17" fillId="0" borderId="0" xfId="1" applyNumberFormat="1" applyFont="1" applyFill="1" applyBorder="1"/>
    <xf numFmtId="43" fontId="17" fillId="0" borderId="4" xfId="1" applyNumberFormat="1" applyFont="1" applyFill="1" applyBorder="1"/>
    <xf numFmtId="43" fontId="17" fillId="0" borderId="4" xfId="1" applyFont="1" applyFill="1" applyBorder="1"/>
    <xf numFmtId="43" fontId="17" fillId="0" borderId="4" xfId="1" applyNumberFormat="1" applyFont="1" applyFill="1" applyBorder="1" applyAlignment="1">
      <alignment horizontal="center" vertical="center"/>
    </xf>
    <xf numFmtId="0" fontId="12" fillId="0" borderId="0" xfId="0" applyFont="1" applyFill="1"/>
    <xf numFmtId="43" fontId="17" fillId="0" borderId="0" xfId="1" applyFont="1" applyFill="1" applyBorder="1"/>
    <xf numFmtId="190" fontId="17" fillId="0" borderId="4" xfId="0" applyNumberFormat="1" applyFont="1" applyFill="1" applyBorder="1" applyAlignment="1">
      <alignment horizontal="center"/>
    </xf>
    <xf numFmtId="192" fontId="17" fillId="0" borderId="4" xfId="0" applyNumberFormat="1" applyFont="1" applyFill="1" applyBorder="1" applyAlignment="1">
      <alignment horizontal="center"/>
    </xf>
    <xf numFmtId="213" fontId="17" fillId="0" borderId="4" xfId="0" applyNumberFormat="1" applyFont="1" applyFill="1" applyBorder="1" applyAlignment="1">
      <alignment horizontal="center"/>
    </xf>
    <xf numFmtId="196" fontId="17" fillId="0" borderId="4" xfId="0" applyNumberFormat="1" applyFont="1" applyFill="1" applyBorder="1" applyAlignment="1">
      <alignment horizontal="center"/>
    </xf>
    <xf numFmtId="198" fontId="17" fillId="0" borderId="4" xfId="0" applyNumberFormat="1" applyFont="1" applyFill="1" applyBorder="1" applyAlignment="1">
      <alignment horizontal="center"/>
    </xf>
    <xf numFmtId="199" fontId="17" fillId="0" borderId="4" xfId="0" applyNumberFormat="1" applyFont="1" applyFill="1" applyBorder="1" applyAlignment="1">
      <alignment horizontal="center"/>
    </xf>
    <xf numFmtId="200" fontId="17" fillId="0" borderId="4" xfId="0" applyNumberFormat="1" applyFont="1" applyFill="1" applyBorder="1" applyAlignment="1">
      <alignment horizontal="center"/>
    </xf>
    <xf numFmtId="202" fontId="17" fillId="0" borderId="4" xfId="0" applyNumberFormat="1" applyFont="1" applyFill="1" applyBorder="1" applyAlignment="1">
      <alignment horizontal="center"/>
    </xf>
    <xf numFmtId="43" fontId="17" fillId="0" borderId="4" xfId="1" applyFont="1" applyFill="1" applyBorder="1" applyAlignment="1">
      <alignment horizontal="center"/>
    </xf>
    <xf numFmtId="206" fontId="17" fillId="0" borderId="4" xfId="0" applyNumberFormat="1" applyFont="1" applyFill="1" applyBorder="1" applyAlignment="1">
      <alignment horizontal="center"/>
    </xf>
    <xf numFmtId="43" fontId="17" fillId="0" borderId="4" xfId="1" applyFont="1" applyFill="1" applyBorder="1" applyAlignment="1">
      <alignment horizontal="center" vertical="center"/>
    </xf>
    <xf numFmtId="211" fontId="17" fillId="0" borderId="4" xfId="1" applyNumberFormat="1" applyFont="1" applyFill="1" applyBorder="1" applyAlignment="1">
      <alignment horizontal="center"/>
    </xf>
    <xf numFmtId="211" fontId="17" fillId="0" borderId="1" xfId="1" applyNumberFormat="1" applyFont="1" applyFill="1" applyBorder="1" applyAlignment="1">
      <alignment horizontal="center"/>
    </xf>
    <xf numFmtId="43" fontId="17" fillId="0" borderId="1" xfId="1" applyNumberFormat="1" applyFont="1" applyFill="1" applyBorder="1" applyAlignment="1">
      <alignment horizontal="center" vertical="center"/>
    </xf>
    <xf numFmtId="211" fontId="17" fillId="0" borderId="4" xfId="1" applyNumberFormat="1" applyFont="1" applyFill="1" applyBorder="1"/>
    <xf numFmtId="0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3" fontId="2" fillId="0" borderId="9" xfId="1" applyFont="1" applyFill="1" applyBorder="1" applyAlignment="1">
      <alignment horizontal="left"/>
    </xf>
    <xf numFmtId="43" fontId="15" fillId="0" borderId="0" xfId="1" applyFont="1" applyFill="1" applyBorder="1" applyAlignment="1">
      <alignment horizontal="center"/>
    </xf>
    <xf numFmtId="43" fontId="17" fillId="0" borderId="0" xfId="1" applyFont="1" applyFill="1"/>
    <xf numFmtId="43" fontId="26" fillId="0" borderId="0" xfId="1" applyFont="1" applyFill="1"/>
    <xf numFmtId="197" fontId="20" fillId="0" borderId="1" xfId="0" applyNumberFormat="1" applyFont="1" applyFill="1" applyBorder="1" applyAlignment="1">
      <alignment horizontal="center"/>
    </xf>
    <xf numFmtId="198" fontId="20" fillId="0" borderId="1" xfId="0" applyNumberFormat="1" applyFont="1" applyFill="1" applyBorder="1" applyAlignment="1">
      <alignment horizontal="center"/>
    </xf>
    <xf numFmtId="194" fontId="20" fillId="0" borderId="11" xfId="0" applyNumberFormat="1" applyFont="1" applyFill="1" applyBorder="1" applyAlignment="1">
      <alignment horizontal="center"/>
    </xf>
    <xf numFmtId="196" fontId="20" fillId="0" borderId="1" xfId="0" applyNumberFormat="1" applyFont="1" applyFill="1" applyBorder="1" applyAlignment="1">
      <alignment horizontal="center"/>
    </xf>
    <xf numFmtId="194" fontId="16" fillId="0" borderId="11" xfId="0" applyNumberFormat="1" applyFont="1" applyFill="1" applyBorder="1" applyAlignment="1">
      <alignment horizontal="center"/>
    </xf>
    <xf numFmtId="197" fontId="20" fillId="0" borderId="12" xfId="0" applyNumberFormat="1" applyFont="1" applyFill="1" applyBorder="1" applyAlignment="1">
      <alignment horizontal="center"/>
    </xf>
    <xf numFmtId="199" fontId="20" fillId="0" borderId="1" xfId="0" applyNumberFormat="1" applyFont="1" applyFill="1" applyBorder="1" applyAlignment="1">
      <alignment horizontal="center"/>
    </xf>
    <xf numFmtId="211" fontId="7" fillId="0" borderId="1" xfId="1" applyNumberFormat="1" applyFont="1" applyFill="1" applyBorder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18" xfId="1" applyFont="1" applyFill="1" applyBorder="1"/>
    <xf numFmtId="197" fontId="16" fillId="0" borderId="12" xfId="0" applyNumberFormat="1" applyFont="1" applyFill="1" applyBorder="1" applyAlignment="1">
      <alignment horizontal="center"/>
    </xf>
    <xf numFmtId="199" fontId="2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/>
    </xf>
    <xf numFmtId="205" fontId="17" fillId="0" borderId="11" xfId="0" applyNumberFormat="1" applyFont="1" applyFill="1" applyBorder="1" applyAlignment="1">
      <alignment horizontal="center"/>
    </xf>
    <xf numFmtId="202" fontId="16" fillId="0" borderId="1" xfId="0" applyNumberFormat="1" applyFont="1" applyFill="1" applyBorder="1" applyAlignment="1">
      <alignment horizontal="center"/>
    </xf>
    <xf numFmtId="43" fontId="16" fillId="0" borderId="1" xfId="1" applyFont="1" applyFill="1" applyBorder="1"/>
    <xf numFmtId="43" fontId="16" fillId="0" borderId="1" xfId="1" applyNumberFormat="1" applyFont="1" applyFill="1" applyBorder="1"/>
    <xf numFmtId="43" fontId="16" fillId="0" borderId="0" xfId="1" applyNumberFormat="1" applyFont="1" applyFill="1" applyBorder="1"/>
    <xf numFmtId="43" fontId="16" fillId="0" borderId="4" xfId="1" applyNumberFormat="1" applyFont="1" applyFill="1" applyBorder="1"/>
    <xf numFmtId="43" fontId="16" fillId="0" borderId="4" xfId="1" applyNumberFormat="1" applyFont="1" applyFill="1" applyBorder="1" applyAlignment="1">
      <alignment horizontal="center" vertical="center"/>
    </xf>
    <xf numFmtId="209" fontId="16" fillId="0" borderId="1" xfId="0" applyNumberFormat="1" applyFont="1" applyFill="1" applyBorder="1" applyAlignment="1">
      <alignment horizontal="center"/>
    </xf>
    <xf numFmtId="212" fontId="16" fillId="0" borderId="1" xfId="0" applyNumberFormat="1" applyFont="1" applyFill="1" applyBorder="1" applyAlignment="1">
      <alignment horizontal="center"/>
    </xf>
    <xf numFmtId="43" fontId="16" fillId="0" borderId="4" xfId="1" applyFont="1" applyFill="1" applyBorder="1"/>
    <xf numFmtId="43" fontId="16" fillId="0" borderId="0" xfId="1" applyFont="1" applyFill="1" applyBorder="1" applyAlignment="1">
      <alignment horizontal="center"/>
    </xf>
    <xf numFmtId="43" fontId="16" fillId="0" borderId="4" xfId="1" applyFont="1" applyFill="1" applyBorder="1" applyAlignment="1">
      <alignment horizontal="center"/>
    </xf>
    <xf numFmtId="211" fontId="16" fillId="0" borderId="4" xfId="1" applyNumberFormat="1" applyFont="1" applyFill="1" applyBorder="1"/>
    <xf numFmtId="189" fontId="16" fillId="0" borderId="1" xfId="0" applyNumberFormat="1" applyFont="1" applyFill="1" applyBorder="1" applyAlignment="1">
      <alignment horizontal="center"/>
    </xf>
    <xf numFmtId="190" fontId="16" fillId="0" borderId="1" xfId="0" applyNumberFormat="1" applyFont="1" applyFill="1" applyBorder="1" applyAlignment="1">
      <alignment horizontal="center"/>
    </xf>
    <xf numFmtId="192" fontId="16" fillId="0" borderId="1" xfId="0" applyNumberFormat="1" applyFont="1" applyFill="1" applyBorder="1" applyAlignment="1">
      <alignment horizontal="center"/>
    </xf>
    <xf numFmtId="193" fontId="16" fillId="0" borderId="1" xfId="0" applyNumberFormat="1" applyFont="1" applyFill="1" applyBorder="1" applyAlignment="1">
      <alignment horizontal="center"/>
    </xf>
    <xf numFmtId="211" fontId="26" fillId="0" borderId="0" xfId="1" applyNumberFormat="1" applyFont="1" applyFill="1" applyBorder="1"/>
    <xf numFmtId="43" fontId="4" fillId="0" borderId="1" xfId="1" applyFont="1" applyFill="1" applyBorder="1"/>
    <xf numFmtId="0" fontId="2" fillId="0" borderId="4" xfId="0" applyFont="1" applyFill="1" applyBorder="1" applyAlignment="1">
      <alignment horizontal="left"/>
    </xf>
    <xf numFmtId="4" fontId="2" fillId="0" borderId="0" xfId="0" applyNumberFormat="1" applyFont="1"/>
    <xf numFmtId="0" fontId="4" fillId="0" borderId="15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4" fillId="0" borderId="19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right"/>
    </xf>
    <xf numFmtId="0" fontId="2" fillId="0" borderId="13" xfId="0" applyFont="1" applyFill="1" applyBorder="1"/>
    <xf numFmtId="187" fontId="2" fillId="0" borderId="13" xfId="0" applyNumberFormat="1" applyFont="1" applyFill="1" applyBorder="1"/>
    <xf numFmtId="0" fontId="4" fillId="0" borderId="5" xfId="0" applyFont="1" applyFill="1" applyBorder="1"/>
    <xf numFmtId="0" fontId="4" fillId="0" borderId="20" xfId="0" applyFont="1" applyFill="1" applyBorder="1" applyAlignment="1">
      <alignment horizontal="left"/>
    </xf>
    <xf numFmtId="15" fontId="2" fillId="0" borderId="9" xfId="0" applyNumberFormat="1" applyFont="1" applyFill="1" applyBorder="1" applyAlignment="1">
      <alignment horizontal="center"/>
    </xf>
    <xf numFmtId="15" fontId="4" fillId="0" borderId="9" xfId="0" applyNumberFormat="1" applyFont="1" applyFill="1" applyBorder="1" applyAlignment="1">
      <alignment horizontal="center"/>
    </xf>
    <xf numFmtId="43" fontId="2" fillId="0" borderId="20" xfId="1" applyFont="1" applyFill="1" applyBorder="1"/>
    <xf numFmtId="0" fontId="4" fillId="0" borderId="3" xfId="0" applyFont="1" applyFill="1" applyBorder="1" applyAlignment="1"/>
    <xf numFmtId="211" fontId="17" fillId="0" borderId="0" xfId="1" applyNumberFormat="1" applyFont="1" applyFill="1" applyBorder="1" applyAlignment="1">
      <alignment horizontal="center"/>
    </xf>
    <xf numFmtId="43" fontId="20" fillId="0" borderId="4" xfId="1" applyFont="1" applyFill="1" applyBorder="1" applyAlignment="1">
      <alignment horizontal="center"/>
    </xf>
    <xf numFmtId="43" fontId="24" fillId="0" borderId="4" xfId="1" applyFont="1" applyFill="1" applyBorder="1" applyAlignment="1">
      <alignment horizontal="center"/>
    </xf>
    <xf numFmtId="43" fontId="27" fillId="0" borderId="0" xfId="1" applyFont="1" applyFill="1"/>
    <xf numFmtId="0" fontId="2" fillId="0" borderId="0" xfId="0" applyNumberFormat="1" applyFont="1" applyFill="1" applyBorder="1" applyAlignment="1">
      <alignment horizontal="left"/>
    </xf>
    <xf numFmtId="43" fontId="4" fillId="0" borderId="0" xfId="1" applyFont="1" applyFill="1" applyBorder="1"/>
    <xf numFmtId="43" fontId="4" fillId="0" borderId="5" xfId="1" applyFont="1" applyFill="1" applyBorder="1" applyAlignment="1">
      <alignment horizontal="left"/>
    </xf>
    <xf numFmtId="43" fontId="4" fillId="0" borderId="10" xfId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center"/>
    </xf>
    <xf numFmtId="43" fontId="2" fillId="0" borderId="5" xfId="1" applyFont="1" applyFill="1" applyBorder="1" applyAlignment="1">
      <alignment horizontal="left"/>
    </xf>
    <xf numFmtId="43" fontId="4" fillId="0" borderId="11" xfId="1" applyFont="1" applyFill="1" applyBorder="1"/>
    <xf numFmtId="43" fontId="17" fillId="0" borderId="1" xfId="1" applyNumberFormat="1" applyFont="1" applyFill="1" applyBorder="1" applyAlignment="1">
      <alignment horizontal="center"/>
    </xf>
    <xf numFmtId="43" fontId="17" fillId="0" borderId="4" xfId="1" applyNumberFormat="1" applyFont="1" applyFill="1" applyBorder="1" applyAlignment="1">
      <alignment horizontal="center"/>
    </xf>
    <xf numFmtId="213" fontId="24" fillId="0" borderId="1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43" fontId="2" fillId="0" borderId="14" xfId="1" applyFont="1" applyFill="1" applyBorder="1" applyAlignment="1">
      <alignment horizontal="left"/>
    </xf>
    <xf numFmtId="43" fontId="20" fillId="0" borderId="1" xfId="1" applyFont="1" applyFill="1" applyBorder="1" applyAlignment="1">
      <alignment horizontal="center"/>
    </xf>
    <xf numFmtId="43" fontId="16" fillId="0" borderId="4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12" fillId="0" borderId="3" xfId="1" applyFont="1" applyBorder="1" applyAlignment="1">
      <alignment horizontal="center" vertical="center"/>
    </xf>
    <xf numFmtId="43" fontId="12" fillId="0" borderId="13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43" fontId="4" fillId="0" borderId="4" xfId="1" applyFont="1" applyFill="1" applyBorder="1" applyAlignment="1">
      <alignment horizontal="left"/>
    </xf>
    <xf numFmtId="43" fontId="2" fillId="0" borderId="0" xfId="1" applyFont="1" applyAlignment="1">
      <alignment horizontal="center"/>
    </xf>
    <xf numFmtId="207" fontId="25" fillId="0" borderId="1" xfId="0" applyNumberFormat="1" applyFont="1" applyFill="1" applyBorder="1" applyAlignment="1">
      <alignment horizontal="center"/>
    </xf>
    <xf numFmtId="213" fontId="25" fillId="0" borderId="1" xfId="0" applyNumberFormat="1" applyFont="1" applyFill="1" applyBorder="1" applyAlignment="1">
      <alignment horizontal="center"/>
    </xf>
    <xf numFmtId="43" fontId="28" fillId="0" borderId="3" xfId="1" applyFont="1" applyFill="1" applyBorder="1"/>
    <xf numFmtId="43" fontId="28" fillId="0" borderId="16" xfId="1" applyFont="1" applyFill="1" applyBorder="1"/>
    <xf numFmtId="43" fontId="2" fillId="0" borderId="10" xfId="1" applyFont="1" applyBorder="1"/>
    <xf numFmtId="43" fontId="6" fillId="0" borderId="1" xfId="1" applyFont="1" applyFill="1" applyBorder="1"/>
    <xf numFmtId="43" fontId="6" fillId="0" borderId="10" xfId="0" applyNumberFormat="1" applyFont="1" applyFill="1" applyBorder="1"/>
    <xf numFmtId="43" fontId="6" fillId="0" borderId="6" xfId="1" applyFont="1" applyFill="1" applyBorder="1"/>
    <xf numFmtId="43" fontId="18" fillId="0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center"/>
    </xf>
    <xf numFmtId="43" fontId="15" fillId="0" borderId="4" xfId="1" applyFont="1" applyFill="1" applyBorder="1" applyAlignment="1">
      <alignment horizontal="center" vertical="center"/>
    </xf>
    <xf numFmtId="0" fontId="8" fillId="0" borderId="3" xfId="0" applyFont="1" applyFill="1" applyBorder="1"/>
    <xf numFmtId="189" fontId="16" fillId="0" borderId="4" xfId="0" applyNumberFormat="1" applyFont="1" applyFill="1" applyBorder="1" applyAlignment="1">
      <alignment horizontal="center"/>
    </xf>
    <xf numFmtId="194" fontId="20" fillId="0" borderId="20" xfId="0" applyNumberFormat="1" applyFont="1" applyFill="1" applyBorder="1" applyAlignment="1">
      <alignment horizontal="center"/>
    </xf>
    <xf numFmtId="197" fontId="20" fillId="0" borderId="4" xfId="0" applyNumberFormat="1" applyFont="1" applyFill="1" applyBorder="1" applyAlignment="1">
      <alignment horizontal="center"/>
    </xf>
    <xf numFmtId="197" fontId="20" fillId="0" borderId="14" xfId="0" applyNumberFormat="1" applyFont="1" applyFill="1" applyBorder="1" applyAlignment="1">
      <alignment horizontal="center"/>
    </xf>
    <xf numFmtId="203" fontId="17" fillId="0" borderId="4" xfId="0" applyNumberFormat="1" applyFont="1" applyFill="1" applyBorder="1" applyAlignment="1">
      <alignment horizontal="center"/>
    </xf>
    <xf numFmtId="205" fontId="17" fillId="0" borderId="20" xfId="0" applyNumberFormat="1" applyFont="1" applyFill="1" applyBorder="1" applyAlignment="1">
      <alignment horizontal="center"/>
    </xf>
    <xf numFmtId="209" fontId="16" fillId="0" borderId="4" xfId="0" applyNumberFormat="1" applyFont="1" applyFill="1" applyBorder="1" applyAlignment="1">
      <alignment horizontal="center"/>
    </xf>
    <xf numFmtId="43" fontId="16" fillId="0" borderId="0" xfId="1" applyFont="1" applyFill="1" applyBorder="1"/>
    <xf numFmtId="0" fontId="8" fillId="0" borderId="14" xfId="0" applyFont="1" applyFill="1" applyBorder="1" applyAlignment="1">
      <alignment horizontal="center"/>
    </xf>
    <xf numFmtId="43" fontId="16" fillId="0" borderId="14" xfId="1" applyFont="1" applyFill="1" applyBorder="1"/>
    <xf numFmtId="43" fontId="16" fillId="0" borderId="14" xfId="1" applyNumberFormat="1" applyFont="1" applyFill="1" applyBorder="1"/>
    <xf numFmtId="0" fontId="2" fillId="0" borderId="20" xfId="0" applyFont="1" applyBorder="1" applyAlignment="1">
      <alignment horizontal="center"/>
    </xf>
    <xf numFmtId="43" fontId="15" fillId="0" borderId="1" xfId="1" applyNumberFormat="1" applyFont="1" applyFill="1" applyBorder="1" applyAlignment="1">
      <alignment horizontal="center"/>
    </xf>
    <xf numFmtId="43" fontId="20" fillId="0" borderId="0" xfId="1" applyFont="1" applyFill="1" applyBorder="1"/>
    <xf numFmtId="0" fontId="25" fillId="0" borderId="1" xfId="0" applyNumberFormat="1" applyFont="1" applyFill="1" applyBorder="1" applyAlignment="1">
      <alignment horizontal="center"/>
    </xf>
    <xf numFmtId="211" fontId="18" fillId="0" borderId="1" xfId="1" applyNumberFormat="1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187" fontId="2" fillId="0" borderId="0" xfId="0" applyNumberFormat="1" applyFont="1" applyFill="1" applyBorder="1"/>
    <xf numFmtId="15" fontId="2" fillId="0" borderId="5" xfId="0" applyNumberFormat="1" applyFont="1" applyFill="1" applyBorder="1" applyAlignment="1">
      <alignment horizontal="center"/>
    </xf>
    <xf numFmtId="187" fontId="2" fillId="0" borderId="20" xfId="0" applyNumberFormat="1" applyFont="1" applyFill="1" applyBorder="1"/>
    <xf numFmtId="15" fontId="2" fillId="0" borderId="14" xfId="0" applyNumberFormat="1" applyFont="1" applyFill="1" applyBorder="1" applyAlignment="1">
      <alignment horizontal="center"/>
    </xf>
    <xf numFmtId="187" fontId="2" fillId="0" borderId="14" xfId="0" applyNumberFormat="1" applyFont="1" applyFill="1" applyBorder="1"/>
    <xf numFmtId="43" fontId="6" fillId="0" borderId="2" xfId="0" applyNumberFormat="1" applyFont="1" applyFill="1" applyBorder="1"/>
    <xf numFmtId="0" fontId="6" fillId="0" borderId="3" xfId="0" applyFont="1" applyFill="1" applyBorder="1" applyAlignment="1">
      <alignment horizontal="center"/>
    </xf>
    <xf numFmtId="43" fontId="28" fillId="0" borderId="3" xfId="1" applyFont="1" applyFill="1" applyBorder="1" applyAlignment="1">
      <alignment horizontal="center"/>
    </xf>
    <xf numFmtId="43" fontId="7" fillId="0" borderId="0" xfId="0" applyNumberFormat="1" applyFont="1" applyFill="1"/>
    <xf numFmtId="0" fontId="4" fillId="0" borderId="20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43" fontId="4" fillId="0" borderId="7" xfId="1" applyFont="1" applyBorder="1"/>
    <xf numFmtId="0" fontId="6" fillId="0" borderId="0" xfId="0" applyNumberFormat="1" applyFont="1" applyFill="1" applyBorder="1" applyAlignment="1">
      <alignment horizontal="center"/>
    </xf>
    <xf numFmtId="0" fontId="6" fillId="0" borderId="14" xfId="0" applyNumberFormat="1" applyFont="1" applyFill="1" applyBorder="1" applyAlignment="1">
      <alignment horizontal="center"/>
    </xf>
    <xf numFmtId="0" fontId="29" fillId="2" borderId="24" xfId="0" applyNumberFormat="1" applyFont="1" applyFill="1" applyBorder="1" applyAlignment="1">
      <alignment horizontal="center" vertical="center" wrapText="1" readingOrder="1"/>
    </xf>
    <xf numFmtId="0" fontId="30" fillId="0" borderId="24" xfId="0" applyNumberFormat="1" applyFont="1" applyFill="1" applyBorder="1" applyAlignment="1">
      <alignment horizontal="center" vertical="center" wrapText="1" readingOrder="1"/>
    </xf>
    <xf numFmtId="226" fontId="30" fillId="0" borderId="24" xfId="0" applyNumberFormat="1" applyFont="1" applyFill="1" applyBorder="1" applyAlignment="1">
      <alignment horizontal="right" vertical="center" wrapText="1" readingOrder="1"/>
    </xf>
    <xf numFmtId="0" fontId="30" fillId="0" borderId="25" xfId="0" applyNumberFormat="1" applyFont="1" applyFill="1" applyBorder="1" applyAlignment="1">
      <alignment horizontal="center" vertical="center" wrapText="1" readingOrder="1"/>
    </xf>
    <xf numFmtId="226" fontId="30" fillId="0" borderId="25" xfId="0" applyNumberFormat="1" applyFont="1" applyFill="1" applyBorder="1" applyAlignment="1">
      <alignment horizontal="right" vertical="center" wrapText="1" readingOrder="1"/>
    </xf>
    <xf numFmtId="226" fontId="29" fillId="0" borderId="10" xfId="0" applyNumberFormat="1" applyFont="1" applyFill="1" applyBorder="1" applyAlignment="1">
      <alignment horizontal="right" vertical="center" wrapText="1" readingOrder="1"/>
    </xf>
    <xf numFmtId="0" fontId="2" fillId="0" borderId="26" xfId="0" applyNumberFormat="1" applyFont="1" applyFill="1" applyBorder="1" applyAlignment="1">
      <alignment vertical="top" wrapText="1"/>
    </xf>
    <xf numFmtId="0" fontId="30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top" wrapText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226" fontId="30" fillId="0" borderId="0" xfId="0" applyNumberFormat="1" applyFont="1" applyFill="1" applyBorder="1" applyAlignment="1">
      <alignment horizontal="right" vertical="center" wrapText="1" readingOrder="1"/>
    </xf>
    <xf numFmtId="0" fontId="2" fillId="0" borderId="27" xfId="0" applyNumberFormat="1" applyFont="1" applyFill="1" applyBorder="1" applyAlignment="1">
      <alignment vertical="top" wrapText="1"/>
    </xf>
    <xf numFmtId="0" fontId="30" fillId="0" borderId="14" xfId="0" applyNumberFormat="1" applyFont="1" applyFill="1" applyBorder="1" applyAlignment="1">
      <alignment vertical="center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30" fillId="0" borderId="14" xfId="0" applyNumberFormat="1" applyFont="1" applyFill="1" applyBorder="1" applyAlignment="1">
      <alignment horizontal="center" vertical="center" wrapText="1" readingOrder="1"/>
    </xf>
    <xf numFmtId="226" fontId="30" fillId="0" borderId="14" xfId="0" applyNumberFormat="1" applyFont="1" applyFill="1" applyBorder="1" applyAlignment="1">
      <alignment horizontal="right" vertical="center" wrapText="1" readingOrder="1"/>
    </xf>
    <xf numFmtId="0" fontId="30" fillId="0" borderId="28" xfId="0" applyNumberFormat="1" applyFont="1" applyFill="1" applyBorder="1" applyAlignment="1">
      <alignment horizontal="center" vertical="center" wrapText="1" readingOrder="1"/>
    </xf>
    <xf numFmtId="226" fontId="30" fillId="0" borderId="28" xfId="0" applyNumberFormat="1" applyFont="1" applyFill="1" applyBorder="1" applyAlignment="1">
      <alignment horizontal="right" vertical="center" wrapText="1" readingOrder="1"/>
    </xf>
    <xf numFmtId="226" fontId="29" fillId="0" borderId="24" xfId="0" applyNumberFormat="1" applyFont="1" applyFill="1" applyBorder="1" applyAlignment="1">
      <alignment horizontal="right" vertical="center" wrapText="1" readingOrder="1"/>
    </xf>
    <xf numFmtId="43" fontId="2" fillId="0" borderId="2" xfId="1" applyFont="1" applyBorder="1"/>
    <xf numFmtId="43" fontId="6" fillId="3" borderId="0" xfId="1" applyFont="1" applyFill="1"/>
    <xf numFmtId="0" fontId="13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0" fontId="13" fillId="0" borderId="2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91" fontId="8" fillId="0" borderId="1" xfId="0" applyNumberFormat="1" applyFont="1" applyFill="1" applyBorder="1" applyAlignment="1">
      <alignment horizontal="center"/>
    </xf>
    <xf numFmtId="205" fontId="8" fillId="0" borderId="21" xfId="0" applyNumberFormat="1" applyFont="1" applyFill="1" applyBorder="1" applyAlignment="1">
      <alignment horizontal="center"/>
    </xf>
    <xf numFmtId="205" fontId="8" fillId="0" borderId="11" xfId="0" applyNumberFormat="1" applyFont="1" applyFill="1" applyBorder="1" applyAlignment="1">
      <alignment horizontal="center"/>
    </xf>
    <xf numFmtId="197" fontId="8" fillId="0" borderId="21" xfId="0" applyNumberFormat="1" applyFont="1" applyFill="1" applyBorder="1" applyAlignment="1">
      <alignment horizontal="center"/>
    </xf>
    <xf numFmtId="197" fontId="8" fillId="0" borderId="12" xfId="0" applyNumberFormat="1" applyFont="1" applyFill="1" applyBorder="1" applyAlignment="1">
      <alignment horizontal="center"/>
    </xf>
    <xf numFmtId="197" fontId="8" fillId="0" borderId="11" xfId="0" applyNumberFormat="1" applyFont="1" applyFill="1" applyBorder="1" applyAlignment="1">
      <alignment horizontal="center"/>
    </xf>
    <xf numFmtId="207" fontId="20" fillId="0" borderId="21" xfId="0" applyNumberFormat="1" applyFont="1" applyFill="1" applyBorder="1" applyAlignment="1">
      <alignment horizontal="center"/>
    </xf>
    <xf numFmtId="207" fontId="20" fillId="0" borderId="1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89" fontId="4" fillId="0" borderId="21" xfId="0" applyNumberFormat="1" applyFont="1" applyBorder="1" applyAlignment="1">
      <alignment horizontal="center"/>
    </xf>
    <xf numFmtId="189" fontId="4" fillId="0" borderId="12" xfId="0" applyNumberFormat="1" applyFont="1" applyBorder="1" applyAlignment="1">
      <alignment horizontal="center"/>
    </xf>
    <xf numFmtId="191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97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89" fontId="4" fillId="0" borderId="0" xfId="0" applyNumberFormat="1" applyFont="1" applyBorder="1" applyAlignment="1">
      <alignment horizontal="center"/>
    </xf>
    <xf numFmtId="191" fontId="4" fillId="0" borderId="0" xfId="0" applyNumberFormat="1" applyFont="1" applyBorder="1" applyAlignment="1">
      <alignment horizontal="center" vertical="center"/>
    </xf>
    <xf numFmtId="197" fontId="4" fillId="0" borderId="0" xfId="0" applyNumberFormat="1" applyFont="1" applyBorder="1" applyAlignment="1">
      <alignment horizontal="center" vertical="center"/>
    </xf>
    <xf numFmtId="191" fontId="15" fillId="0" borderId="1" xfId="0" applyNumberFormat="1" applyFont="1" applyFill="1" applyBorder="1" applyAlignment="1">
      <alignment horizontal="center"/>
    </xf>
    <xf numFmtId="197" fontId="15" fillId="0" borderId="21" xfId="0" applyNumberFormat="1" applyFont="1" applyFill="1" applyBorder="1" applyAlignment="1">
      <alignment horizontal="center"/>
    </xf>
    <xf numFmtId="197" fontId="15" fillId="0" borderId="11" xfId="0" applyNumberFormat="1" applyFont="1" applyFill="1" applyBorder="1" applyAlignment="1">
      <alignment horizontal="center"/>
    </xf>
    <xf numFmtId="205" fontId="15" fillId="0" borderId="21" xfId="0" applyNumberFormat="1" applyFont="1" applyFill="1" applyBorder="1" applyAlignment="1">
      <alignment horizontal="center"/>
    </xf>
    <xf numFmtId="205" fontId="15" fillId="0" borderId="11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91" fontId="14" fillId="0" borderId="1" xfId="0" applyNumberFormat="1" applyFont="1" applyBorder="1" applyAlignment="1">
      <alignment horizontal="center"/>
    </xf>
    <xf numFmtId="197" fontId="14" fillId="0" borderId="21" xfId="0" applyNumberFormat="1" applyFont="1" applyBorder="1" applyAlignment="1">
      <alignment horizontal="center"/>
    </xf>
    <xf numFmtId="197" fontId="14" fillId="0" borderId="11" xfId="0" applyNumberFormat="1" applyFont="1" applyBorder="1" applyAlignment="1">
      <alignment horizontal="center"/>
    </xf>
    <xf numFmtId="205" fontId="14" fillId="0" borderId="21" xfId="0" applyNumberFormat="1" applyFont="1" applyBorder="1" applyAlignment="1">
      <alignment horizontal="center"/>
    </xf>
    <xf numFmtId="205" fontId="14" fillId="0" borderId="11" xfId="0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207" fontId="16" fillId="0" borderId="5" xfId="0" applyNumberFormat="1" applyFont="1" applyFill="1" applyBorder="1" applyAlignment="1">
      <alignment horizontal="center"/>
    </xf>
    <xf numFmtId="207" fontId="16" fillId="0" borderId="20" xfId="0" applyNumberFormat="1" applyFont="1" applyFill="1" applyBorder="1" applyAlignment="1">
      <alignment horizontal="center"/>
    </xf>
    <xf numFmtId="191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94" fontId="6" fillId="0" borderId="0" xfId="0" applyNumberFormat="1" applyFont="1" applyFill="1" applyBorder="1" applyAlignment="1">
      <alignment horizontal="center"/>
    </xf>
    <xf numFmtId="19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91" fontId="16" fillId="0" borderId="4" xfId="0" applyNumberFormat="1" applyFont="1" applyFill="1" applyBorder="1" applyAlignment="1">
      <alignment horizontal="center"/>
    </xf>
    <xf numFmtId="197" fontId="8" fillId="0" borderId="5" xfId="0" applyNumberFormat="1" applyFont="1" applyFill="1" applyBorder="1" applyAlignment="1">
      <alignment horizontal="center"/>
    </xf>
    <xf numFmtId="197" fontId="8" fillId="0" borderId="14" xfId="0" applyNumberFormat="1" applyFont="1" applyFill="1" applyBorder="1" applyAlignment="1">
      <alignment horizontal="center"/>
    </xf>
    <xf numFmtId="197" fontId="8" fillId="0" borderId="20" xfId="0" applyNumberFormat="1" applyFont="1" applyFill="1" applyBorder="1" applyAlignment="1">
      <alignment horizontal="center"/>
    </xf>
    <xf numFmtId="205" fontId="8" fillId="0" borderId="5" xfId="0" applyNumberFormat="1" applyFont="1" applyFill="1" applyBorder="1" applyAlignment="1">
      <alignment horizontal="center"/>
    </xf>
    <xf numFmtId="205" fontId="8" fillId="0" borderId="20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91" fontId="16" fillId="0" borderId="1" xfId="0" applyNumberFormat="1" applyFont="1" applyFill="1" applyBorder="1" applyAlignment="1">
      <alignment horizontal="center"/>
    </xf>
    <xf numFmtId="207" fontId="16" fillId="0" borderId="21" xfId="0" applyNumberFormat="1" applyFont="1" applyFill="1" applyBorder="1" applyAlignment="1">
      <alignment horizontal="center"/>
    </xf>
    <xf numFmtId="207" fontId="16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91" fontId="17" fillId="0" borderId="1" xfId="0" applyNumberFormat="1" applyFont="1" applyFill="1" applyBorder="1" applyAlignment="1">
      <alignment horizontal="center"/>
    </xf>
    <xf numFmtId="205" fontId="17" fillId="0" borderId="21" xfId="0" applyNumberFormat="1" applyFont="1" applyFill="1" applyBorder="1" applyAlignment="1">
      <alignment horizontal="center"/>
    </xf>
    <xf numFmtId="205" fontId="17" fillId="0" borderId="11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97" fontId="17" fillId="0" borderId="21" xfId="0" applyNumberFormat="1" applyFont="1" applyFill="1" applyBorder="1" applyAlignment="1">
      <alignment horizontal="center"/>
    </xf>
    <xf numFmtId="197" fontId="17" fillId="0" borderId="12" xfId="0" applyNumberFormat="1" applyFont="1" applyFill="1" applyBorder="1" applyAlignment="1">
      <alignment horizontal="center"/>
    </xf>
    <xf numFmtId="197" fontId="17" fillId="0" borderId="11" xfId="0" applyNumberFormat="1" applyFont="1" applyFill="1" applyBorder="1" applyAlignment="1">
      <alignment horizontal="center"/>
    </xf>
    <xf numFmtId="207" fontId="17" fillId="0" borderId="21" xfId="0" applyNumberFormat="1" applyFont="1" applyFill="1" applyBorder="1" applyAlignment="1">
      <alignment horizontal="center"/>
    </xf>
    <xf numFmtId="207" fontId="17" fillId="0" borderId="11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30" fillId="0" borderId="0" xfId="0" applyNumberFormat="1" applyFont="1" applyFill="1" applyBorder="1" applyAlignment="1">
      <alignment horizontal="center" vertical="top" wrapText="1" readingOrder="1"/>
    </xf>
    <xf numFmtId="0" fontId="29" fillId="2" borderId="29" xfId="0" applyNumberFormat="1" applyFont="1" applyFill="1" applyBorder="1" applyAlignment="1">
      <alignment horizontal="center" vertical="center" wrapText="1" readingOrder="1"/>
    </xf>
    <xf numFmtId="0" fontId="29" fillId="2" borderId="26" xfId="0" applyNumberFormat="1" applyFont="1" applyFill="1" applyBorder="1" applyAlignment="1">
      <alignment horizontal="center" vertical="center" wrapText="1" readingOrder="1"/>
    </xf>
    <xf numFmtId="0" fontId="29" fillId="2" borderId="30" xfId="0" applyNumberFormat="1" applyFont="1" applyFill="1" applyBorder="1" applyAlignment="1">
      <alignment horizontal="center" vertical="center" wrapText="1" readingOrder="1"/>
    </xf>
    <xf numFmtId="0" fontId="30" fillId="0" borderId="29" xfId="0" applyNumberFormat="1" applyFont="1" applyFill="1" applyBorder="1" applyAlignment="1">
      <alignment vertical="center" wrapText="1" readingOrder="1"/>
    </xf>
    <xf numFmtId="0" fontId="30" fillId="0" borderId="26" xfId="0" applyNumberFormat="1" applyFont="1" applyFill="1" applyBorder="1" applyAlignment="1">
      <alignment vertical="center" wrapText="1" readingOrder="1"/>
    </xf>
    <xf numFmtId="226" fontId="30" fillId="0" borderId="29" xfId="0" applyNumberFormat="1" applyFont="1" applyFill="1" applyBorder="1" applyAlignment="1">
      <alignment horizontal="right" vertical="center" wrapText="1" readingOrder="1"/>
    </xf>
    <xf numFmtId="226" fontId="30" fillId="0" borderId="30" xfId="0" applyNumberFormat="1" applyFont="1" applyFill="1" applyBorder="1" applyAlignment="1">
      <alignment horizontal="right" vertical="center" wrapText="1" readingOrder="1"/>
    </xf>
    <xf numFmtId="226" fontId="30" fillId="0" borderId="26" xfId="0" applyNumberFormat="1" applyFont="1" applyFill="1" applyBorder="1" applyAlignment="1">
      <alignment horizontal="right" vertical="center" wrapText="1" readingOrder="1"/>
    </xf>
    <xf numFmtId="226" fontId="30" fillId="0" borderId="29" xfId="0" applyNumberFormat="1" applyFont="1" applyFill="1" applyBorder="1" applyAlignment="1">
      <alignment horizontal="center" vertical="center" wrapText="1" readingOrder="1"/>
    </xf>
    <xf numFmtId="226" fontId="30" fillId="0" borderId="30" xfId="0" applyNumberFormat="1" applyFont="1" applyFill="1" applyBorder="1" applyAlignment="1">
      <alignment horizontal="center" vertical="center" wrapText="1" readingOrder="1"/>
    </xf>
    <xf numFmtId="226" fontId="30" fillId="0" borderId="26" xfId="0" applyNumberFormat="1" applyFont="1" applyFill="1" applyBorder="1" applyAlignment="1">
      <alignment horizontal="center" vertical="center" wrapText="1" readingOrder="1"/>
    </xf>
    <xf numFmtId="0" fontId="30" fillId="0" borderId="31" xfId="0" applyNumberFormat="1" applyFont="1" applyFill="1" applyBorder="1" applyAlignment="1">
      <alignment vertical="center" wrapText="1" readingOrder="1"/>
    </xf>
    <xf numFmtId="0" fontId="30" fillId="0" borderId="32" xfId="0" applyNumberFormat="1" applyFont="1" applyFill="1" applyBorder="1" applyAlignment="1">
      <alignment vertical="center" wrapText="1" readingOrder="1"/>
    </xf>
    <xf numFmtId="226" fontId="30" fillId="0" borderId="31" xfId="0" applyNumberFormat="1" applyFont="1" applyFill="1" applyBorder="1" applyAlignment="1">
      <alignment horizontal="right" vertical="center" wrapText="1" readingOrder="1"/>
    </xf>
    <xf numFmtId="226" fontId="30" fillId="0" borderId="33" xfId="0" applyNumberFormat="1" applyFont="1" applyFill="1" applyBorder="1" applyAlignment="1">
      <alignment horizontal="right" vertical="center" wrapText="1" readingOrder="1"/>
    </xf>
    <xf numFmtId="226" fontId="30" fillId="0" borderId="32" xfId="0" applyNumberFormat="1" applyFont="1" applyFill="1" applyBorder="1" applyAlignment="1">
      <alignment horizontal="right" vertical="center" wrapText="1" readingOrder="1"/>
    </xf>
    <xf numFmtId="0" fontId="29" fillId="0" borderId="34" xfId="0" applyNumberFormat="1" applyFont="1" applyFill="1" applyBorder="1" applyAlignment="1">
      <alignment horizontal="right" vertical="center" wrapText="1" readingOrder="1"/>
    </xf>
    <xf numFmtId="0" fontId="29" fillId="0" borderId="35" xfId="0" applyNumberFormat="1" applyFont="1" applyFill="1" applyBorder="1" applyAlignment="1">
      <alignment horizontal="right" vertical="center" wrapText="1" readingOrder="1"/>
    </xf>
    <xf numFmtId="0" fontId="29" fillId="0" borderId="36" xfId="0" applyNumberFormat="1" applyFont="1" applyFill="1" applyBorder="1" applyAlignment="1">
      <alignment horizontal="right" vertical="center" wrapText="1" readingOrder="1"/>
    </xf>
    <xf numFmtId="226" fontId="29" fillId="0" borderId="22" xfId="0" applyNumberFormat="1" applyFont="1" applyFill="1" applyBorder="1" applyAlignment="1">
      <alignment horizontal="right" vertical="center" wrapText="1" readingOrder="1"/>
    </xf>
    <xf numFmtId="226" fontId="29" fillId="0" borderId="7" xfId="0" applyNumberFormat="1" applyFont="1" applyFill="1" applyBorder="1" applyAlignment="1">
      <alignment horizontal="right" vertical="center" wrapText="1" readingOrder="1"/>
    </xf>
    <xf numFmtId="226" fontId="29" fillId="0" borderId="23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29" fillId="2" borderId="24" xfId="0" applyNumberFormat="1" applyFont="1" applyFill="1" applyBorder="1" applyAlignment="1">
      <alignment horizontal="center" vertical="center" wrapText="1" readingOrder="1"/>
    </xf>
    <xf numFmtId="0" fontId="2" fillId="0" borderId="26" xfId="0" applyNumberFormat="1" applyFont="1" applyFill="1" applyBorder="1" applyAlignment="1">
      <alignment vertical="top" wrapText="1"/>
    </xf>
    <xf numFmtId="0" fontId="2" fillId="0" borderId="30" xfId="0" applyNumberFormat="1" applyFont="1" applyFill="1" applyBorder="1" applyAlignment="1">
      <alignment vertical="top" wrapText="1"/>
    </xf>
    <xf numFmtId="0" fontId="30" fillId="0" borderId="24" xfId="0" applyNumberFormat="1" applyFont="1" applyFill="1" applyBorder="1" applyAlignment="1">
      <alignment vertical="center" wrapText="1" readingOrder="1"/>
    </xf>
    <xf numFmtId="226" fontId="30" fillId="0" borderId="24" xfId="0" applyNumberFormat="1" applyFont="1" applyFill="1" applyBorder="1" applyAlignment="1">
      <alignment horizontal="right" vertical="center" wrapText="1" readingOrder="1"/>
    </xf>
    <xf numFmtId="0" fontId="30" fillId="0" borderId="25" xfId="0" applyNumberFormat="1" applyFont="1" applyFill="1" applyBorder="1" applyAlignment="1">
      <alignment vertical="center" wrapText="1" readingOrder="1"/>
    </xf>
    <xf numFmtId="0" fontId="2" fillId="0" borderId="32" xfId="0" applyNumberFormat="1" applyFont="1" applyFill="1" applyBorder="1" applyAlignment="1">
      <alignment vertical="top" wrapText="1"/>
    </xf>
    <xf numFmtId="226" fontId="30" fillId="0" borderId="25" xfId="0" applyNumberFormat="1" applyFont="1" applyFill="1" applyBorder="1" applyAlignment="1">
      <alignment horizontal="right" vertical="center" wrapText="1" readingOrder="1"/>
    </xf>
    <xf numFmtId="0" fontId="2" fillId="0" borderId="33" xfId="0" applyNumberFormat="1" applyFont="1" applyFill="1" applyBorder="1" applyAlignment="1">
      <alignment vertical="top" wrapText="1"/>
    </xf>
    <xf numFmtId="0" fontId="30" fillId="0" borderId="28" xfId="0" applyNumberFormat="1" applyFont="1" applyFill="1" applyBorder="1" applyAlignment="1">
      <alignment vertical="center" wrapText="1" readingOrder="1"/>
    </xf>
    <xf numFmtId="0" fontId="2" fillId="0" borderId="27" xfId="0" applyNumberFormat="1" applyFont="1" applyFill="1" applyBorder="1" applyAlignment="1">
      <alignment vertical="top" wrapText="1"/>
    </xf>
    <xf numFmtId="226" fontId="30" fillId="0" borderId="28" xfId="0" applyNumberFormat="1" applyFont="1" applyFill="1" applyBorder="1" applyAlignment="1">
      <alignment horizontal="right" vertical="center" wrapText="1" readingOrder="1"/>
    </xf>
    <xf numFmtId="0" fontId="2" fillId="0" borderId="37" xfId="0" applyNumberFormat="1" applyFont="1" applyFill="1" applyBorder="1" applyAlignment="1">
      <alignment vertical="top" wrapText="1"/>
    </xf>
    <xf numFmtId="0" fontId="31" fillId="0" borderId="24" xfId="0" applyNumberFormat="1" applyFont="1" applyFill="1" applyBorder="1" applyAlignment="1">
      <alignment vertical="center" wrapText="1" readingOrder="1"/>
    </xf>
    <xf numFmtId="0" fontId="7" fillId="0" borderId="26" xfId="0" applyNumberFormat="1" applyFont="1" applyFill="1" applyBorder="1" applyAlignment="1">
      <alignment vertical="top" wrapText="1"/>
    </xf>
    <xf numFmtId="0" fontId="31" fillId="0" borderId="25" xfId="0" applyNumberFormat="1" applyFont="1" applyFill="1" applyBorder="1" applyAlignment="1">
      <alignment vertical="center" wrapText="1" readingOrder="1"/>
    </xf>
    <xf numFmtId="0" fontId="7" fillId="0" borderId="32" xfId="0" applyNumberFormat="1" applyFont="1" applyFill="1" applyBorder="1" applyAlignment="1">
      <alignment vertical="top" wrapText="1"/>
    </xf>
    <xf numFmtId="0" fontId="31" fillId="0" borderId="28" xfId="0" applyNumberFormat="1" applyFont="1" applyFill="1" applyBorder="1" applyAlignment="1">
      <alignment vertical="center" wrapText="1" readingOrder="1"/>
    </xf>
    <xf numFmtId="0" fontId="7" fillId="0" borderId="27" xfId="0" applyNumberFormat="1" applyFont="1" applyFill="1" applyBorder="1" applyAlignment="1">
      <alignment vertical="top" wrapText="1"/>
    </xf>
    <xf numFmtId="0" fontId="29" fillId="0" borderId="28" xfId="0" applyNumberFormat="1" applyFont="1" applyFill="1" applyBorder="1" applyAlignment="1">
      <alignment horizontal="right" vertical="center" wrapText="1" readingOrder="1"/>
    </xf>
    <xf numFmtId="226" fontId="29" fillId="0" borderId="24" xfId="0" applyNumberFormat="1" applyFont="1" applyFill="1" applyBorder="1" applyAlignment="1">
      <alignment horizontal="right" vertical="center" wrapText="1" readingOrder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opLeftCell="A31" workbookViewId="0">
      <selection activeCell="C18" sqref="C18"/>
    </sheetView>
  </sheetViews>
  <sheetFormatPr defaultRowHeight="23.25"/>
  <cols>
    <col min="1" max="1" width="36.28515625" style="1" customWidth="1"/>
    <col min="2" max="2" width="10.7109375" style="1" customWidth="1"/>
    <col min="3" max="3" width="13.42578125" style="1" customWidth="1"/>
    <col min="4" max="4" width="13.5703125" style="1" customWidth="1"/>
    <col min="5" max="5" width="13.42578125" style="1" customWidth="1"/>
    <col min="6" max="6" width="12.5703125" style="1" customWidth="1"/>
    <col min="7" max="7" width="11.28515625" style="1" bestFit="1" customWidth="1"/>
    <col min="8" max="8" width="14" style="1" customWidth="1"/>
    <col min="9" max="9" width="11.85546875" style="1" customWidth="1"/>
    <col min="10" max="10" width="17.42578125" style="1" customWidth="1"/>
    <col min="11" max="16384" width="9.140625" style="1"/>
  </cols>
  <sheetData>
    <row r="1" spans="1:10">
      <c r="A1" s="128"/>
      <c r="B1" s="128"/>
      <c r="C1" s="128"/>
      <c r="D1" s="128"/>
      <c r="E1" s="128"/>
      <c r="F1" s="331"/>
    </row>
    <row r="2" spans="1:10">
      <c r="A2" s="529" t="s">
        <v>157</v>
      </c>
      <c r="B2" s="529"/>
      <c r="C2" s="529"/>
      <c r="D2" s="529"/>
      <c r="E2" s="529"/>
      <c r="F2" s="529"/>
    </row>
    <row r="3" spans="1:10">
      <c r="A3" s="529" t="s">
        <v>426</v>
      </c>
      <c r="B3" s="529"/>
      <c r="C3" s="529"/>
      <c r="D3" s="529"/>
      <c r="E3" s="529"/>
      <c r="F3" s="529"/>
    </row>
    <row r="4" spans="1:10">
      <c r="A4" s="530"/>
      <c r="B4" s="530"/>
      <c r="C4" s="530"/>
      <c r="D4" s="530"/>
      <c r="E4" s="530"/>
      <c r="F4" s="530"/>
    </row>
    <row r="5" spans="1:10">
      <c r="A5" s="3" t="s">
        <v>11</v>
      </c>
      <c r="B5" s="3" t="s">
        <v>1</v>
      </c>
      <c r="C5" s="3" t="s">
        <v>12</v>
      </c>
      <c r="D5" s="3" t="s">
        <v>13</v>
      </c>
      <c r="E5" s="183" t="s">
        <v>14</v>
      </c>
      <c r="F5" s="3" t="s">
        <v>15</v>
      </c>
    </row>
    <row r="6" spans="1:10">
      <c r="A6" s="4" t="s">
        <v>183</v>
      </c>
      <c r="B6" s="286">
        <v>21040004</v>
      </c>
      <c r="C6" s="131">
        <v>1127.1500000000001</v>
      </c>
      <c r="D6" s="394">
        <v>8.4</v>
      </c>
      <c r="E6" s="131">
        <f>99776.6+C6-D6</f>
        <v>100895.35</v>
      </c>
      <c r="F6" s="4"/>
      <c r="G6" s="130"/>
      <c r="H6" s="17"/>
      <c r="I6" s="17"/>
    </row>
    <row r="7" spans="1:10">
      <c r="A7" s="5" t="s">
        <v>184</v>
      </c>
      <c r="B7" s="8">
        <v>21040008</v>
      </c>
      <c r="C7" s="121">
        <v>0</v>
      </c>
      <c r="D7" s="125">
        <v>0</v>
      </c>
      <c r="E7" s="121">
        <v>359565</v>
      </c>
      <c r="F7" s="5"/>
      <c r="G7" s="130"/>
      <c r="H7" s="17"/>
      <c r="I7" s="17"/>
      <c r="J7" s="23"/>
    </row>
    <row r="8" spans="1:10">
      <c r="A8" s="5" t="s">
        <v>185</v>
      </c>
      <c r="B8" s="8">
        <v>21040001</v>
      </c>
      <c r="C8" s="121">
        <v>8454.0499999999993</v>
      </c>
      <c r="D8" s="125">
        <v>10722.75</v>
      </c>
      <c r="E8" s="121">
        <f>10722.75+C8-D8</f>
        <v>8454.0499999999993</v>
      </c>
      <c r="F8" s="5"/>
      <c r="G8" s="130"/>
      <c r="H8" s="17"/>
      <c r="I8" s="17"/>
      <c r="J8" s="23"/>
    </row>
    <row r="9" spans="1:10">
      <c r="A9" s="5" t="s">
        <v>247</v>
      </c>
      <c r="B9" s="8">
        <v>21040014</v>
      </c>
      <c r="C9" s="121">
        <v>95015.41</v>
      </c>
      <c r="D9" s="125">
        <v>0</v>
      </c>
      <c r="E9" s="121">
        <f>164650.43+C9</f>
        <v>259665.84</v>
      </c>
      <c r="F9" s="5"/>
      <c r="G9" s="130"/>
      <c r="H9" s="17"/>
      <c r="I9" s="17"/>
      <c r="J9" s="23"/>
    </row>
    <row r="10" spans="1:10">
      <c r="A10" s="5" t="s">
        <v>186</v>
      </c>
      <c r="B10" s="8">
        <v>21040016</v>
      </c>
      <c r="C10" s="121">
        <f>5000+587323</f>
        <v>592323</v>
      </c>
      <c r="D10" s="125">
        <v>0</v>
      </c>
      <c r="E10" s="121">
        <f>66633+5000+587323</f>
        <v>658956</v>
      </c>
      <c r="F10" s="5"/>
      <c r="G10" s="130"/>
      <c r="H10" s="17"/>
      <c r="I10" s="17"/>
      <c r="J10" s="23"/>
    </row>
    <row r="11" spans="1:10">
      <c r="A11" s="5" t="s">
        <v>259</v>
      </c>
      <c r="B11" s="8">
        <v>21040099</v>
      </c>
      <c r="C11" s="121">
        <v>200</v>
      </c>
      <c r="D11" s="125">
        <v>0</v>
      </c>
      <c r="E11" s="121">
        <f>30200+200</f>
        <v>30400</v>
      </c>
      <c r="F11" s="5"/>
      <c r="G11" s="130"/>
      <c r="H11" s="17"/>
      <c r="I11" s="17"/>
    </row>
    <row r="12" spans="1:10">
      <c r="A12" s="6" t="s">
        <v>356</v>
      </c>
      <c r="B12" s="484">
        <v>21040013</v>
      </c>
      <c r="C12" s="132">
        <v>10144</v>
      </c>
      <c r="D12" s="170">
        <v>20288</v>
      </c>
      <c r="E12" s="132">
        <f>10144+10144-20288</f>
        <v>0</v>
      </c>
      <c r="F12" s="6"/>
      <c r="G12" s="130"/>
      <c r="H12" s="17"/>
      <c r="I12" s="17"/>
    </row>
    <row r="13" spans="1:10" ht="24" thickBot="1">
      <c r="C13" s="15">
        <f>SUM(C6:C12)</f>
        <v>707263.61</v>
      </c>
      <c r="D13" s="15">
        <f>SUM(D6:D12)</f>
        <v>31019.15</v>
      </c>
      <c r="E13" s="220">
        <f>SUM(E6:E12)</f>
        <v>1417936.24</v>
      </c>
      <c r="G13" s="17"/>
      <c r="H13" s="17"/>
    </row>
    <row r="14" spans="1:10" ht="24" thickTop="1">
      <c r="E14" s="128"/>
    </row>
    <row r="16" spans="1:10">
      <c r="H16" s="23"/>
    </row>
    <row r="32" spans="1:6">
      <c r="A32" s="128"/>
      <c r="B32" s="128"/>
      <c r="C32" s="128"/>
      <c r="D32" s="128"/>
      <c r="E32" s="128"/>
      <c r="F32" s="331" t="s">
        <v>173</v>
      </c>
    </row>
    <row r="34" spans="1:8">
      <c r="A34" s="531" t="s">
        <v>172</v>
      </c>
      <c r="B34" s="531"/>
      <c r="C34" s="531"/>
      <c r="D34" s="531"/>
      <c r="E34" s="531"/>
      <c r="F34" s="531"/>
    </row>
    <row r="35" spans="1:8">
      <c r="A35" s="531" t="s">
        <v>426</v>
      </c>
      <c r="B35" s="531"/>
      <c r="C35" s="531"/>
      <c r="D35" s="531"/>
      <c r="E35" s="531"/>
      <c r="F35" s="531"/>
    </row>
    <row r="37" spans="1:8">
      <c r="A37" s="3" t="s">
        <v>18</v>
      </c>
      <c r="B37" s="3" t="s">
        <v>1</v>
      </c>
      <c r="C37" s="3" t="s">
        <v>61</v>
      </c>
      <c r="D37" s="3" t="s">
        <v>174</v>
      </c>
      <c r="E37" s="3" t="s">
        <v>175</v>
      </c>
      <c r="F37" s="3" t="s">
        <v>15</v>
      </c>
    </row>
    <row r="38" spans="1:8">
      <c r="A38" s="297" t="s">
        <v>176</v>
      </c>
      <c r="B38" s="298">
        <v>52200000</v>
      </c>
      <c r="C38" s="122">
        <f>10946510-30000-10000-27000-25000+27000-50000-70000-200000+17500</f>
        <v>10579010</v>
      </c>
      <c r="D38" s="122">
        <v>848264</v>
      </c>
      <c r="E38" s="122">
        <f>8349078.39+848264</f>
        <v>9197342.3900000006</v>
      </c>
      <c r="F38" s="299"/>
      <c r="H38" s="17"/>
    </row>
    <row r="39" spans="1:8">
      <c r="A39" s="297" t="s">
        <v>177</v>
      </c>
      <c r="B39" s="298">
        <v>52200000</v>
      </c>
      <c r="C39" s="122">
        <v>250000</v>
      </c>
      <c r="D39" s="122">
        <v>38510</v>
      </c>
      <c r="E39" s="122">
        <f>419890+38510</f>
        <v>458400</v>
      </c>
      <c r="F39" s="299"/>
    </row>
    <row r="40" spans="1:8">
      <c r="A40" s="297" t="s">
        <v>178</v>
      </c>
      <c r="B40" s="298">
        <v>52200000</v>
      </c>
      <c r="C40" s="122">
        <f>2643000-60000-10000-30000-8600</f>
        <v>2534400</v>
      </c>
      <c r="D40" s="122">
        <v>206570</v>
      </c>
      <c r="E40" s="122">
        <f>2203231+206570</f>
        <v>2409801</v>
      </c>
      <c r="F40" s="299"/>
    </row>
    <row r="41" spans="1:8">
      <c r="A41" s="532" t="s">
        <v>41</v>
      </c>
      <c r="B41" s="533"/>
      <c r="C41" s="122">
        <f>SUM(C38:C40)</f>
        <v>13363410</v>
      </c>
      <c r="D41" s="122">
        <f>SUM(D38:D40)</f>
        <v>1093344</v>
      </c>
      <c r="E41" s="122">
        <f>SUM(E38:E40)</f>
        <v>12065543.390000001</v>
      </c>
      <c r="F41" s="299"/>
    </row>
    <row r="44" spans="1:8">
      <c r="C44" s="17"/>
      <c r="D44" s="17"/>
      <c r="E44" s="17"/>
      <c r="F44" s="17"/>
    </row>
  </sheetData>
  <mergeCells count="6">
    <mergeCell ref="A2:F2"/>
    <mergeCell ref="A3:F3"/>
    <mergeCell ref="A4:F4"/>
    <mergeCell ref="A34:F34"/>
    <mergeCell ref="A35:F35"/>
    <mergeCell ref="A41:B41"/>
  </mergeCells>
  <phoneticPr fontId="3" type="noConversion"/>
  <pageMargins left="0.28999999999999998" right="0.28000000000000003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40"/>
  <sheetViews>
    <sheetView zoomScale="140" zoomScaleNormal="140" workbookViewId="0">
      <selection activeCell="B9" sqref="B9"/>
    </sheetView>
  </sheetViews>
  <sheetFormatPr defaultRowHeight="18"/>
  <cols>
    <col min="1" max="1" width="10.5703125" style="11" customWidth="1"/>
    <col min="2" max="2" width="7.140625" style="11" customWidth="1"/>
    <col min="3" max="3" width="8.42578125" style="11" customWidth="1"/>
    <col min="4" max="4" width="7.5703125" style="11" customWidth="1"/>
    <col min="5" max="5" width="11.7109375" style="11" customWidth="1"/>
    <col min="6" max="6" width="8.85546875" style="11" customWidth="1"/>
    <col min="7" max="7" width="9.28515625" style="11" customWidth="1"/>
    <col min="8" max="8" width="12.140625" style="11" customWidth="1"/>
    <col min="9" max="9" width="7.7109375" style="11" customWidth="1"/>
    <col min="10" max="10" width="8.42578125" style="11" customWidth="1"/>
    <col min="11" max="11" width="7.140625" style="11" customWidth="1"/>
    <col min="12" max="12" width="6.28515625" style="11" customWidth="1"/>
    <col min="13" max="13" width="10.28515625" style="11" customWidth="1"/>
    <col min="14" max="14" width="8" style="11" customWidth="1"/>
    <col min="15" max="15" width="8.140625" style="11" customWidth="1"/>
    <col min="16" max="16384" width="9.140625" style="11"/>
  </cols>
  <sheetData>
    <row r="1" spans="1:17" ht="21">
      <c r="A1" s="535" t="s">
        <v>38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</row>
    <row r="2" spans="1:17" ht="21">
      <c r="A2" s="535" t="s">
        <v>102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</row>
    <row r="3" spans="1:17" ht="21">
      <c r="A3" s="535" t="s">
        <v>426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</row>
    <row r="4" spans="1:17" ht="2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7">
      <c r="A5" s="88" t="s">
        <v>39</v>
      </c>
      <c r="B5" s="89" t="s">
        <v>4</v>
      </c>
      <c r="C5" s="586" t="s">
        <v>104</v>
      </c>
      <c r="D5" s="586"/>
      <c r="E5" s="90" t="s">
        <v>107</v>
      </c>
      <c r="F5" s="91" t="s">
        <v>109</v>
      </c>
      <c r="G5" s="92" t="s">
        <v>111</v>
      </c>
      <c r="H5" s="93" t="s">
        <v>113</v>
      </c>
      <c r="I5" s="587" t="s">
        <v>115</v>
      </c>
      <c r="J5" s="588"/>
      <c r="K5" s="94" t="s">
        <v>117</v>
      </c>
      <c r="L5" s="589" t="s">
        <v>118</v>
      </c>
      <c r="M5" s="590"/>
      <c r="N5" s="95" t="s">
        <v>120</v>
      </c>
      <c r="O5" s="591" t="s">
        <v>41</v>
      </c>
    </row>
    <row r="6" spans="1:17">
      <c r="A6" s="96" t="s">
        <v>40</v>
      </c>
      <c r="B6" s="97" t="s">
        <v>4</v>
      </c>
      <c r="C6" s="98" t="s">
        <v>105</v>
      </c>
      <c r="D6" s="99" t="s">
        <v>106</v>
      </c>
      <c r="E6" s="100" t="s">
        <v>108</v>
      </c>
      <c r="F6" s="101" t="s">
        <v>110</v>
      </c>
      <c r="G6" s="102" t="s">
        <v>112</v>
      </c>
      <c r="H6" s="103" t="s">
        <v>114</v>
      </c>
      <c r="I6" s="104" t="s">
        <v>105</v>
      </c>
      <c r="J6" s="105" t="s">
        <v>116</v>
      </c>
      <c r="K6" s="106" t="s">
        <v>105</v>
      </c>
      <c r="L6" s="107" t="s">
        <v>119</v>
      </c>
      <c r="M6" s="100" t="s">
        <v>118</v>
      </c>
      <c r="N6" s="108" t="s">
        <v>121</v>
      </c>
      <c r="O6" s="592"/>
    </row>
    <row r="7" spans="1:17">
      <c r="A7" s="112" t="s">
        <v>32</v>
      </c>
      <c r="B7" s="110"/>
      <c r="C7" s="113"/>
      <c r="D7" s="110"/>
      <c r="E7" s="110"/>
      <c r="F7" s="110"/>
      <c r="G7" s="110"/>
      <c r="H7" s="110"/>
      <c r="I7" s="110"/>
      <c r="J7" s="109">
        <v>230000</v>
      </c>
      <c r="K7" s="113"/>
      <c r="L7" s="110"/>
      <c r="M7" s="110"/>
      <c r="N7" s="110"/>
      <c r="O7" s="110">
        <f>SUM(B7:N7)</f>
        <v>230000</v>
      </c>
      <c r="P7" s="38"/>
      <c r="Q7" s="38"/>
    </row>
    <row r="8" spans="1:17">
      <c r="A8" s="224" t="s">
        <v>42</v>
      </c>
      <c r="B8" s="110"/>
      <c r="C8" s="113"/>
      <c r="D8" s="113"/>
      <c r="E8" s="109"/>
      <c r="F8" s="113"/>
      <c r="G8" s="113"/>
      <c r="H8" s="113"/>
      <c r="I8" s="113"/>
      <c r="J8" s="109">
        <v>230000</v>
      </c>
      <c r="K8" s="113"/>
      <c r="L8" s="110"/>
      <c r="M8" s="110"/>
      <c r="N8" s="110"/>
      <c r="O8" s="110">
        <f>SUM(B8:N8)</f>
        <v>230000</v>
      </c>
    </row>
    <row r="9" spans="1:17">
      <c r="A9" s="224" t="s">
        <v>43</v>
      </c>
      <c r="B9" s="110"/>
      <c r="C9" s="113"/>
      <c r="D9" s="113"/>
      <c r="E9" s="109"/>
      <c r="F9" s="113"/>
      <c r="G9" s="113"/>
      <c r="H9" s="113"/>
      <c r="I9" s="113"/>
      <c r="J9" s="109">
        <f>741000+230000</f>
        <v>971000</v>
      </c>
      <c r="K9" s="113"/>
      <c r="L9" s="110"/>
      <c r="M9" s="110"/>
      <c r="N9" s="110"/>
      <c r="O9" s="110">
        <f>SUM(B9:N9)</f>
        <v>971000</v>
      </c>
    </row>
    <row r="10" spans="1:17">
      <c r="A10" s="224" t="s">
        <v>43</v>
      </c>
      <c r="B10" s="110"/>
      <c r="C10" s="113"/>
      <c r="D10" s="113"/>
      <c r="E10" s="109"/>
      <c r="F10" s="109"/>
      <c r="G10" s="109"/>
      <c r="H10" s="109"/>
      <c r="I10" s="109"/>
      <c r="J10" s="109">
        <f>SUM(J9)</f>
        <v>971000</v>
      </c>
      <c r="K10" s="109"/>
      <c r="L10" s="109"/>
      <c r="M10" s="109"/>
      <c r="N10" s="109"/>
      <c r="O10" s="110">
        <f>SUM(B10:N10)</f>
        <v>971000</v>
      </c>
    </row>
    <row r="11" spans="1:17">
      <c r="A11" s="114"/>
      <c r="B11" s="115"/>
      <c r="C11" s="116"/>
      <c r="D11" s="116"/>
      <c r="E11" s="116"/>
      <c r="F11" s="115"/>
      <c r="G11" s="116"/>
      <c r="H11" s="115"/>
      <c r="I11" s="115"/>
      <c r="J11" s="115"/>
      <c r="K11" s="115"/>
      <c r="L11" s="115"/>
      <c r="M11" s="115"/>
      <c r="N11" s="115"/>
      <c r="O11" s="117"/>
    </row>
    <row r="12" spans="1:17">
      <c r="A12" s="114"/>
      <c r="B12" s="115"/>
      <c r="C12" s="116"/>
      <c r="D12" s="116"/>
      <c r="E12" s="116"/>
      <c r="F12" s="115"/>
      <c r="G12" s="116"/>
      <c r="H12" s="115"/>
      <c r="I12" s="115"/>
      <c r="J12" s="115"/>
      <c r="K12" s="115"/>
      <c r="L12" s="115"/>
      <c r="M12" s="115"/>
      <c r="N12" s="115"/>
      <c r="O12" s="117"/>
    </row>
    <row r="13" spans="1:17">
      <c r="A13" s="114"/>
      <c r="B13" s="115"/>
      <c r="C13" s="116"/>
      <c r="D13" s="116"/>
      <c r="E13" s="116"/>
      <c r="F13" s="115"/>
      <c r="G13" s="116"/>
      <c r="H13" s="115"/>
      <c r="I13" s="115"/>
      <c r="J13" s="115"/>
      <c r="K13" s="115"/>
      <c r="L13" s="115"/>
      <c r="M13" s="115"/>
      <c r="N13" s="115"/>
      <c r="O13" s="117"/>
    </row>
    <row r="14" spans="1:17">
      <c r="A14" s="114"/>
      <c r="B14" s="115"/>
      <c r="C14" s="116"/>
      <c r="D14" s="116"/>
      <c r="E14" s="116"/>
      <c r="F14" s="115"/>
      <c r="G14" s="116"/>
      <c r="H14" s="115"/>
      <c r="I14" s="115"/>
      <c r="J14" s="115"/>
      <c r="K14" s="115"/>
      <c r="L14" s="115"/>
      <c r="M14" s="115"/>
      <c r="N14" s="115"/>
      <c r="O14" s="117"/>
    </row>
    <row r="15" spans="1:17">
      <c r="A15" s="114"/>
      <c r="B15" s="115"/>
      <c r="C15" s="116"/>
      <c r="D15" s="116"/>
      <c r="E15" s="116"/>
      <c r="F15" s="115"/>
      <c r="G15" s="116"/>
      <c r="H15" s="115"/>
      <c r="I15" s="115"/>
      <c r="J15" s="115"/>
      <c r="K15" s="115"/>
      <c r="L15" s="115"/>
      <c r="M15" s="115"/>
      <c r="N15" s="115"/>
      <c r="O15" s="117"/>
    </row>
    <row r="16" spans="1:17">
      <c r="A16" s="114"/>
      <c r="B16" s="118"/>
      <c r="C16" s="119"/>
      <c r="D16" s="119"/>
      <c r="E16" s="120"/>
      <c r="F16" s="120"/>
      <c r="G16" s="120"/>
      <c r="H16" s="120"/>
      <c r="I16" s="120"/>
      <c r="J16" s="120"/>
      <c r="K16" s="120"/>
      <c r="L16" s="119"/>
      <c r="M16" s="119"/>
      <c r="N16" s="119"/>
      <c r="O16" s="118"/>
    </row>
    <row r="18" spans="1:15">
      <c r="J18" s="124"/>
    </row>
    <row r="31" spans="1:15" ht="21">
      <c r="A31" s="535" t="s">
        <v>38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5"/>
      <c r="M31" s="535"/>
      <c r="N31" s="535"/>
      <c r="O31" s="535"/>
    </row>
    <row r="32" spans="1:15" ht="21">
      <c r="A32" s="535" t="s">
        <v>131</v>
      </c>
      <c r="B32" s="535"/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5"/>
    </row>
    <row r="33" spans="1:15" ht="21">
      <c r="A33" s="535" t="s">
        <v>132</v>
      </c>
      <c r="B33" s="535"/>
      <c r="C33" s="535"/>
      <c r="D33" s="535"/>
      <c r="E33" s="535"/>
      <c r="F33" s="535"/>
      <c r="G33" s="535"/>
      <c r="H33" s="535"/>
      <c r="I33" s="535"/>
      <c r="J33" s="535"/>
      <c r="K33" s="535"/>
      <c r="L33" s="535"/>
      <c r="M33" s="535"/>
      <c r="N33" s="535"/>
      <c r="O33" s="535"/>
    </row>
    <row r="34" spans="1:15" ht="2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>
      <c r="A35" s="88" t="s">
        <v>39</v>
      </c>
      <c r="B35" s="89" t="s">
        <v>4</v>
      </c>
      <c r="C35" s="586" t="s">
        <v>104</v>
      </c>
      <c r="D35" s="586"/>
      <c r="E35" s="90" t="s">
        <v>107</v>
      </c>
      <c r="F35" s="91" t="s">
        <v>109</v>
      </c>
      <c r="G35" s="92" t="s">
        <v>111</v>
      </c>
      <c r="H35" s="93" t="s">
        <v>113</v>
      </c>
      <c r="I35" s="587" t="s">
        <v>115</v>
      </c>
      <c r="J35" s="588"/>
      <c r="K35" s="94" t="s">
        <v>117</v>
      </c>
      <c r="L35" s="589" t="s">
        <v>118</v>
      </c>
      <c r="M35" s="590"/>
      <c r="N35" s="95" t="s">
        <v>120</v>
      </c>
      <c r="O35" s="591" t="s">
        <v>41</v>
      </c>
    </row>
    <row r="36" spans="1:15">
      <c r="A36" s="96" t="s">
        <v>40</v>
      </c>
      <c r="B36" s="97" t="s">
        <v>4</v>
      </c>
      <c r="C36" s="98" t="s">
        <v>105</v>
      </c>
      <c r="D36" s="99" t="s">
        <v>106</v>
      </c>
      <c r="E36" s="100" t="s">
        <v>108</v>
      </c>
      <c r="F36" s="101" t="s">
        <v>110</v>
      </c>
      <c r="G36" s="102" t="s">
        <v>112</v>
      </c>
      <c r="H36" s="103" t="s">
        <v>114</v>
      </c>
      <c r="I36" s="104" t="s">
        <v>105</v>
      </c>
      <c r="J36" s="105" t="s">
        <v>116</v>
      </c>
      <c r="K36" s="106" t="s">
        <v>105</v>
      </c>
      <c r="L36" s="107" t="s">
        <v>119</v>
      </c>
      <c r="M36" s="100" t="s">
        <v>118</v>
      </c>
      <c r="N36" s="108" t="s">
        <v>121</v>
      </c>
      <c r="O36" s="592"/>
    </row>
    <row r="37" spans="1:15">
      <c r="A37" s="112" t="s">
        <v>32</v>
      </c>
      <c r="B37" s="110"/>
      <c r="C37" s="113"/>
      <c r="D37" s="110"/>
      <c r="E37" s="110"/>
      <c r="F37" s="110"/>
      <c r="G37" s="110"/>
      <c r="H37" s="110"/>
      <c r="I37" s="110"/>
      <c r="J37" s="109">
        <v>1690000</v>
      </c>
      <c r="K37" s="113"/>
      <c r="L37" s="110"/>
      <c r="M37" s="110"/>
      <c r="N37" s="110"/>
      <c r="O37" s="111">
        <f>SUM(B37:N37)</f>
        <v>1690000</v>
      </c>
    </row>
    <row r="38" spans="1:15">
      <c r="A38" s="112" t="s">
        <v>42</v>
      </c>
      <c r="B38" s="110"/>
      <c r="C38" s="113">
        <f>SUM(C37:C37)</f>
        <v>0</v>
      </c>
      <c r="D38" s="113">
        <f>SUM(D37:D37)</f>
        <v>0</v>
      </c>
      <c r="E38" s="113"/>
      <c r="F38" s="113"/>
      <c r="G38" s="113"/>
      <c r="H38" s="113"/>
      <c r="I38" s="113"/>
      <c r="J38" s="109">
        <f>SUM(J37)</f>
        <v>1690000</v>
      </c>
      <c r="K38" s="113">
        <f>SUM(K37:K37)</f>
        <v>0</v>
      </c>
      <c r="L38" s="110"/>
      <c r="M38" s="110"/>
      <c r="N38" s="110"/>
      <c r="O38" s="111">
        <f>SUM(B38:N38)</f>
        <v>1690000</v>
      </c>
    </row>
    <row r="39" spans="1:15">
      <c r="A39" s="112" t="s">
        <v>43</v>
      </c>
      <c r="B39" s="110"/>
      <c r="C39" s="110"/>
      <c r="D39" s="110"/>
      <c r="E39" s="113"/>
      <c r="F39" s="113"/>
      <c r="G39" s="113"/>
      <c r="H39" s="110"/>
      <c r="I39" s="110"/>
      <c r="J39" s="109">
        <v>3555400</v>
      </c>
      <c r="K39" s="113"/>
      <c r="L39" s="110"/>
      <c r="M39" s="110"/>
      <c r="N39" s="110"/>
      <c r="O39" s="111">
        <f>SUM(B39:N39)</f>
        <v>3555400</v>
      </c>
    </row>
    <row r="40" spans="1:15">
      <c r="A40" s="114"/>
      <c r="B40" s="115"/>
      <c r="C40" s="116"/>
      <c r="D40" s="116"/>
      <c r="E40" s="116"/>
      <c r="F40" s="115"/>
      <c r="G40" s="116"/>
      <c r="H40" s="115"/>
      <c r="I40" s="115"/>
      <c r="J40" s="115"/>
      <c r="K40" s="115"/>
      <c r="L40" s="115"/>
      <c r="M40" s="115"/>
      <c r="N40" s="115"/>
      <c r="O40" s="117"/>
    </row>
  </sheetData>
  <mergeCells count="14">
    <mergeCell ref="A1:O1"/>
    <mergeCell ref="A2:O2"/>
    <mergeCell ref="A3:O3"/>
    <mergeCell ref="C5:D5"/>
    <mergeCell ref="I5:J5"/>
    <mergeCell ref="L5:M5"/>
    <mergeCell ref="O5:O6"/>
    <mergeCell ref="A31:O31"/>
    <mergeCell ref="A32:O32"/>
    <mergeCell ref="A33:O33"/>
    <mergeCell ref="C35:D35"/>
    <mergeCell ref="I35:J35"/>
    <mergeCell ref="L35:M35"/>
    <mergeCell ref="O35:O36"/>
  </mergeCells>
  <phoneticPr fontId="3" type="noConversion"/>
  <pageMargins left="0.32" right="0.49" top="0.44" bottom="0.36" header="0.35" footer="0.26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T238"/>
  <sheetViews>
    <sheetView zoomScale="140" zoomScaleNormal="140" zoomScaleSheetLayoutView="130" workbookViewId="0">
      <pane ySplit="6" topLeftCell="A7" activePane="bottomLeft" state="frozen"/>
      <selection pane="bottomLeft" activeCell="G9" sqref="G9"/>
    </sheetView>
  </sheetViews>
  <sheetFormatPr defaultRowHeight="21"/>
  <cols>
    <col min="1" max="1" width="6.7109375" style="39" customWidth="1"/>
    <col min="2" max="3" width="8.42578125" style="39" customWidth="1"/>
    <col min="4" max="4" width="8.85546875" style="39" customWidth="1"/>
    <col min="5" max="5" width="7.7109375" style="39" customWidth="1"/>
    <col min="6" max="6" width="8.140625" style="39" customWidth="1"/>
    <col min="7" max="7" width="8.42578125" style="39" customWidth="1"/>
    <col min="8" max="8" width="7.85546875" style="39" customWidth="1"/>
    <col min="9" max="9" width="11" style="39" customWidth="1"/>
    <col min="10" max="10" width="9.140625" style="39"/>
    <col min="11" max="11" width="8.7109375" style="39" customWidth="1"/>
    <col min="12" max="12" width="7.85546875" style="39" customWidth="1"/>
    <col min="13" max="13" width="8" style="39" customWidth="1"/>
    <col min="14" max="14" width="7.42578125" style="39" customWidth="1"/>
    <col min="15" max="15" width="7.7109375" style="39" customWidth="1"/>
    <col min="16" max="16" width="6.85546875" style="39" customWidth="1"/>
    <col min="17" max="17" width="7.7109375" style="39" customWidth="1"/>
    <col min="18" max="18" width="8.7109375" style="39" customWidth="1"/>
    <col min="19" max="19" width="11.5703125" style="39" customWidth="1"/>
    <col min="20" max="20" width="13.5703125" style="39" customWidth="1"/>
    <col min="21" max="16384" width="9.140625" style="39"/>
  </cols>
  <sheetData>
    <row r="1" spans="1:19">
      <c r="A1" s="535" t="s">
        <v>252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</row>
    <row r="2" spans="1:19">
      <c r="A2" s="535" t="s">
        <v>103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</row>
    <row r="3" spans="1:19">
      <c r="A3" s="535" t="s">
        <v>418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</row>
    <row r="4" spans="1:19" ht="21.7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</row>
    <row r="5" spans="1:19">
      <c r="A5" s="139" t="s">
        <v>39</v>
      </c>
      <c r="B5" s="412" t="s">
        <v>4</v>
      </c>
      <c r="C5" s="611" t="s">
        <v>104</v>
      </c>
      <c r="D5" s="611"/>
      <c r="E5" s="612" t="s">
        <v>107</v>
      </c>
      <c r="F5" s="613"/>
      <c r="G5" s="386" t="s">
        <v>109</v>
      </c>
      <c r="H5" s="384" t="s">
        <v>111</v>
      </c>
      <c r="I5" s="395" t="s">
        <v>113</v>
      </c>
      <c r="J5" s="561" t="s">
        <v>115</v>
      </c>
      <c r="K5" s="562"/>
      <c r="L5" s="563"/>
      <c r="M5" s="339" t="s">
        <v>117</v>
      </c>
      <c r="N5" s="559" t="s">
        <v>118</v>
      </c>
      <c r="O5" s="560"/>
      <c r="P5" s="399" t="s">
        <v>126</v>
      </c>
      <c r="Q5" s="406" t="s">
        <v>120</v>
      </c>
      <c r="R5" s="601" t="s">
        <v>41</v>
      </c>
    </row>
    <row r="6" spans="1:19">
      <c r="A6" s="143" t="s">
        <v>40</v>
      </c>
      <c r="B6" s="413" t="s">
        <v>4</v>
      </c>
      <c r="C6" s="414" t="s">
        <v>105</v>
      </c>
      <c r="D6" s="415" t="s">
        <v>106</v>
      </c>
      <c r="E6" s="127" t="s">
        <v>257</v>
      </c>
      <c r="F6" s="127" t="s">
        <v>258</v>
      </c>
      <c r="G6" s="387" t="s">
        <v>110</v>
      </c>
      <c r="H6" s="385" t="s">
        <v>112</v>
      </c>
      <c r="I6" s="148" t="s">
        <v>114</v>
      </c>
      <c r="J6" s="149" t="s">
        <v>105</v>
      </c>
      <c r="K6" s="400" t="s">
        <v>116</v>
      </c>
      <c r="L6" s="150" t="s">
        <v>134</v>
      </c>
      <c r="M6" s="347" t="s">
        <v>105</v>
      </c>
      <c r="N6" s="129" t="s">
        <v>119</v>
      </c>
      <c r="O6" s="169" t="s">
        <v>118</v>
      </c>
      <c r="P6" s="169" t="s">
        <v>127</v>
      </c>
      <c r="Q6" s="407" t="s">
        <v>121</v>
      </c>
      <c r="R6" s="602"/>
    </row>
    <row r="7" spans="1:19">
      <c r="A7" s="319">
        <v>5110100</v>
      </c>
      <c r="B7" s="321"/>
      <c r="C7" s="321"/>
      <c r="D7" s="321"/>
      <c r="E7" s="321"/>
      <c r="F7" s="321"/>
      <c r="G7" s="450"/>
      <c r="H7" s="450"/>
      <c r="I7" s="321"/>
      <c r="J7" s="76"/>
      <c r="K7" s="321"/>
      <c r="L7" s="76"/>
      <c r="M7" s="320"/>
      <c r="N7" s="76"/>
      <c r="O7" s="450"/>
      <c r="P7" s="450"/>
      <c r="Q7" s="321"/>
      <c r="R7" s="451">
        <f>SUM(B7:Q7)</f>
        <v>0</v>
      </c>
      <c r="S7" s="39" t="s">
        <v>347</v>
      </c>
    </row>
    <row r="8" spans="1:19">
      <c r="A8" s="319">
        <v>5110200</v>
      </c>
      <c r="B8" s="321"/>
      <c r="C8" s="321"/>
      <c r="D8" s="321"/>
      <c r="E8" s="321"/>
      <c r="F8" s="321"/>
      <c r="G8" s="450"/>
      <c r="H8" s="450"/>
      <c r="I8" s="321"/>
      <c r="J8" s="76"/>
      <c r="K8" s="321"/>
      <c r="L8" s="76"/>
      <c r="M8" s="320"/>
      <c r="N8" s="76"/>
      <c r="O8" s="450"/>
      <c r="P8" s="450"/>
      <c r="Q8" s="321"/>
      <c r="R8" s="451">
        <f t="shared" ref="R8:R15" si="0">SUM(B8:Q8)</f>
        <v>0</v>
      </c>
      <c r="S8" s="39" t="s">
        <v>225</v>
      </c>
    </row>
    <row r="9" spans="1:19">
      <c r="A9" s="315">
        <v>5110300</v>
      </c>
      <c r="B9" s="321">
        <v>10031</v>
      </c>
      <c r="C9" s="321"/>
      <c r="D9" s="321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321"/>
      <c r="R9" s="451">
        <f t="shared" si="0"/>
        <v>10031</v>
      </c>
      <c r="S9" s="39" t="s">
        <v>221</v>
      </c>
    </row>
    <row r="10" spans="1:19">
      <c r="A10" s="315">
        <v>5120900</v>
      </c>
      <c r="B10" s="321"/>
      <c r="C10" s="321"/>
      <c r="D10" s="321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321"/>
      <c r="R10" s="451">
        <f t="shared" si="0"/>
        <v>0</v>
      </c>
      <c r="S10" s="39" t="s">
        <v>222</v>
      </c>
    </row>
    <row r="11" spans="1:19">
      <c r="A11" s="315">
        <v>5110900</v>
      </c>
      <c r="B11" s="321"/>
      <c r="C11" s="321"/>
      <c r="D11" s="321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321"/>
      <c r="R11" s="451">
        <f t="shared" si="0"/>
        <v>0</v>
      </c>
      <c r="S11" s="39" t="s">
        <v>223</v>
      </c>
    </row>
    <row r="12" spans="1:19">
      <c r="A12" s="315">
        <v>5110700</v>
      </c>
      <c r="B12" s="321">
        <v>13700</v>
      </c>
      <c r="C12" s="321"/>
      <c r="D12" s="321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321"/>
      <c r="R12" s="451">
        <f t="shared" si="0"/>
        <v>13700</v>
      </c>
      <c r="S12" s="39" t="s">
        <v>319</v>
      </c>
    </row>
    <row r="13" spans="1:19">
      <c r="A13" s="315">
        <v>5110800</v>
      </c>
      <c r="B13" s="321">
        <v>4800</v>
      </c>
      <c r="C13" s="321"/>
      <c r="D13" s="321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321"/>
      <c r="R13" s="451">
        <f t="shared" si="0"/>
        <v>4800</v>
      </c>
      <c r="S13" s="39" t="s">
        <v>320</v>
      </c>
    </row>
    <row r="14" spans="1:19">
      <c r="A14" s="315">
        <v>5111100</v>
      </c>
      <c r="B14" s="321"/>
      <c r="C14" s="321"/>
      <c r="D14" s="321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321"/>
      <c r="R14" s="451">
        <f t="shared" si="0"/>
        <v>0</v>
      </c>
      <c r="S14" s="39" t="s">
        <v>330</v>
      </c>
    </row>
    <row r="15" spans="1:19">
      <c r="A15" s="315">
        <v>111200</v>
      </c>
      <c r="B15" s="321"/>
      <c r="C15" s="321"/>
      <c r="D15" s="321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321"/>
      <c r="R15" s="451">
        <f t="shared" si="0"/>
        <v>0</v>
      </c>
      <c r="S15" s="39" t="s">
        <v>378</v>
      </c>
    </row>
    <row r="16" spans="1:19">
      <c r="A16" s="225" t="s">
        <v>42</v>
      </c>
      <c r="B16" s="402">
        <f>SUM(B7:B15)</f>
        <v>28531</v>
      </c>
      <c r="C16" s="401"/>
      <c r="D16" s="401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401"/>
      <c r="R16" s="321">
        <f>SUM(B16:Q16)</f>
        <v>28531</v>
      </c>
      <c r="S16" s="136"/>
    </row>
    <row r="17" spans="1:19">
      <c r="A17" s="225" t="s">
        <v>43</v>
      </c>
      <c r="B17" s="402">
        <f>5442493+28069+1899069+939244+938044+28531</f>
        <v>9275450</v>
      </c>
      <c r="C17" s="401"/>
      <c r="D17" s="401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401"/>
      <c r="R17" s="402">
        <f>SUM(B17:Q17)</f>
        <v>9275450</v>
      </c>
      <c r="S17" s="136"/>
    </row>
    <row r="18" spans="1:19">
      <c r="A18" s="248">
        <v>5210100</v>
      </c>
      <c r="B18" s="402"/>
      <c r="C18" s="402">
        <v>57960</v>
      </c>
      <c r="D18" s="40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402"/>
      <c r="R18" s="402">
        <f t="shared" ref="R18:R25" si="1">SUM(B18:Q18)</f>
        <v>57960</v>
      </c>
      <c r="S18" s="39" t="s">
        <v>193</v>
      </c>
    </row>
    <row r="19" spans="1:19">
      <c r="A19" s="248">
        <v>5210200</v>
      </c>
      <c r="B19" s="402"/>
      <c r="C19" s="402">
        <v>10000</v>
      </c>
      <c r="D19" s="402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402"/>
      <c r="R19" s="402">
        <f t="shared" si="1"/>
        <v>10000</v>
      </c>
      <c r="S19" s="39" t="s">
        <v>194</v>
      </c>
    </row>
    <row r="20" spans="1:19">
      <c r="A20" s="248">
        <v>5210300</v>
      </c>
      <c r="B20" s="402"/>
      <c r="C20" s="402">
        <v>10000</v>
      </c>
      <c r="D20" s="402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02"/>
      <c r="R20" s="402">
        <f t="shared" si="1"/>
        <v>10000</v>
      </c>
      <c r="S20" s="39" t="s">
        <v>195</v>
      </c>
    </row>
    <row r="21" spans="1:19">
      <c r="A21" s="248">
        <v>5210400</v>
      </c>
      <c r="B21" s="402"/>
      <c r="C21" s="402">
        <v>16560</v>
      </c>
      <c r="D21" s="402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02"/>
      <c r="R21" s="402">
        <f t="shared" si="1"/>
        <v>16560</v>
      </c>
      <c r="S21" s="39" t="s">
        <v>196</v>
      </c>
    </row>
    <row r="22" spans="1:19">
      <c r="A22" s="248">
        <v>5210600</v>
      </c>
      <c r="B22" s="402"/>
      <c r="C22" s="402">
        <v>124200</v>
      </c>
      <c r="D22" s="40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02"/>
      <c r="R22" s="402">
        <f t="shared" si="1"/>
        <v>124200</v>
      </c>
      <c r="S22" s="39" t="s">
        <v>197</v>
      </c>
    </row>
    <row r="23" spans="1:19">
      <c r="A23" s="248">
        <v>5220100</v>
      </c>
      <c r="B23" s="402"/>
      <c r="C23" s="402">
        <v>326330</v>
      </c>
      <c r="D23" s="402">
        <v>130730</v>
      </c>
      <c r="E23" s="37"/>
      <c r="F23" s="37"/>
      <c r="G23" s="37"/>
      <c r="H23" s="37"/>
      <c r="I23" s="402"/>
      <c r="J23" s="402">
        <v>107050</v>
      </c>
      <c r="K23" s="402"/>
      <c r="L23" s="402"/>
      <c r="M23" s="402">
        <v>193910</v>
      </c>
      <c r="N23" s="37"/>
      <c r="O23" s="37"/>
      <c r="P23" s="37"/>
      <c r="Q23" s="402"/>
      <c r="R23" s="402">
        <f t="shared" si="1"/>
        <v>758020</v>
      </c>
      <c r="S23" s="39" t="s">
        <v>193</v>
      </c>
    </row>
    <row r="24" spans="1:19">
      <c r="A24" s="248">
        <v>5220200</v>
      </c>
      <c r="B24" s="402"/>
      <c r="C24" s="402">
        <v>13870</v>
      </c>
      <c r="D24" s="402"/>
      <c r="E24" s="37"/>
      <c r="F24" s="37"/>
      <c r="G24" s="37"/>
      <c r="H24" s="37"/>
      <c r="I24" s="402"/>
      <c r="J24" s="402"/>
      <c r="K24" s="402"/>
      <c r="L24" s="402"/>
      <c r="M24" s="402"/>
      <c r="N24" s="37"/>
      <c r="O24" s="37"/>
      <c r="P24" s="37"/>
      <c r="Q24" s="402"/>
      <c r="R24" s="402">
        <f t="shared" si="1"/>
        <v>13870</v>
      </c>
      <c r="S24" s="39" t="s">
        <v>198</v>
      </c>
    </row>
    <row r="25" spans="1:19">
      <c r="A25" s="248">
        <v>5220300</v>
      </c>
      <c r="B25" s="402"/>
      <c r="C25" s="402">
        <v>22500</v>
      </c>
      <c r="D25" s="402">
        <v>5000</v>
      </c>
      <c r="E25" s="37"/>
      <c r="F25" s="37"/>
      <c r="G25" s="37"/>
      <c r="H25" s="37"/>
      <c r="I25" s="402"/>
      <c r="J25" s="402">
        <v>5000</v>
      </c>
      <c r="K25" s="402"/>
      <c r="L25" s="402"/>
      <c r="M25" s="402"/>
      <c r="N25" s="37"/>
      <c r="O25" s="37"/>
      <c r="P25" s="37"/>
      <c r="Q25" s="402"/>
      <c r="R25" s="402">
        <f t="shared" si="1"/>
        <v>32500</v>
      </c>
      <c r="S25" s="39" t="s">
        <v>199</v>
      </c>
    </row>
    <row r="26" spans="1:19">
      <c r="A26" s="225" t="s">
        <v>42</v>
      </c>
      <c r="B26" s="402">
        <v>0</v>
      </c>
      <c r="C26" s="402">
        <f>SUM(C18:C25)</f>
        <v>581420</v>
      </c>
      <c r="D26" s="402">
        <f>SUM(D18:D25)</f>
        <v>135730</v>
      </c>
      <c r="E26" s="37">
        <f t="shared" ref="E26:Q26" si="2">SUM(E18:E25)</f>
        <v>0</v>
      </c>
      <c r="F26" s="37">
        <v>0</v>
      </c>
      <c r="G26" s="37">
        <f t="shared" si="2"/>
        <v>0</v>
      </c>
      <c r="H26" s="37">
        <f t="shared" si="2"/>
        <v>0</v>
      </c>
      <c r="I26" s="402">
        <f t="shared" si="2"/>
        <v>0</v>
      </c>
      <c r="J26" s="402">
        <f>SUM(J18:J25)</f>
        <v>112050</v>
      </c>
      <c r="K26" s="402">
        <f t="shared" si="2"/>
        <v>0</v>
      </c>
      <c r="L26" s="402">
        <f t="shared" si="2"/>
        <v>0</v>
      </c>
      <c r="M26" s="402">
        <f>SUM(M18:M25)</f>
        <v>193910</v>
      </c>
      <c r="N26" s="37">
        <f t="shared" si="2"/>
        <v>0</v>
      </c>
      <c r="O26" s="37">
        <f t="shared" si="2"/>
        <v>0</v>
      </c>
      <c r="P26" s="37">
        <v>0</v>
      </c>
      <c r="Q26" s="402">
        <f t="shared" si="2"/>
        <v>0</v>
      </c>
      <c r="R26" s="402">
        <f>SUM(B26:Q26)</f>
        <v>1023110</v>
      </c>
      <c r="S26" s="137"/>
    </row>
    <row r="27" spans="1:19">
      <c r="A27" s="225" t="s">
        <v>43</v>
      </c>
      <c r="B27" s="402">
        <f>SUM(B26)</f>
        <v>0</v>
      </c>
      <c r="C27" s="402">
        <f>2140800+535200+535200+560304+574970+581420</f>
        <v>4927894</v>
      </c>
      <c r="D27" s="402">
        <f>425440+106360+132860+132860+138600+135730</f>
        <v>1071850</v>
      </c>
      <c r="E27" s="402">
        <f t="shared" ref="E27:Q27" si="3">SUM(E26)</f>
        <v>0</v>
      </c>
      <c r="F27" s="402">
        <f t="shared" si="3"/>
        <v>0</v>
      </c>
      <c r="G27" s="402">
        <f t="shared" si="3"/>
        <v>0</v>
      </c>
      <c r="H27" s="402">
        <f t="shared" si="3"/>
        <v>0</v>
      </c>
      <c r="I27" s="402">
        <f t="shared" si="3"/>
        <v>0</v>
      </c>
      <c r="J27" s="402">
        <f>376840+94210+94210+94210+120272+112050</f>
        <v>891792</v>
      </c>
      <c r="K27" s="402">
        <f t="shared" si="3"/>
        <v>0</v>
      </c>
      <c r="L27" s="402">
        <f t="shared" si="3"/>
        <v>0</v>
      </c>
      <c r="M27" s="402">
        <f>757864.55+189320+189320+189320+198320+193910</f>
        <v>1718054.55</v>
      </c>
      <c r="N27" s="402">
        <f t="shared" si="3"/>
        <v>0</v>
      </c>
      <c r="O27" s="402">
        <f t="shared" si="3"/>
        <v>0</v>
      </c>
      <c r="P27" s="402">
        <f t="shared" si="3"/>
        <v>0</v>
      </c>
      <c r="Q27" s="402">
        <f t="shared" si="3"/>
        <v>0</v>
      </c>
      <c r="R27" s="402">
        <f>SUM(B27:Q27)</f>
        <v>8609590.5500000007</v>
      </c>
      <c r="S27" s="137"/>
    </row>
    <row r="28" spans="1:19">
      <c r="A28" s="322"/>
      <c r="B28" s="403"/>
      <c r="C28" s="403"/>
      <c r="D28" s="403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403"/>
      <c r="R28" s="403"/>
      <c r="S28" s="137"/>
    </row>
    <row r="29" spans="1:19">
      <c r="A29" s="316"/>
      <c r="B29" s="403"/>
      <c r="C29" s="403"/>
      <c r="D29" s="403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403"/>
      <c r="R29" s="403"/>
    </row>
    <row r="30" spans="1:19">
      <c r="A30" s="317" t="s">
        <v>39</v>
      </c>
      <c r="B30" s="412" t="s">
        <v>4</v>
      </c>
      <c r="C30" s="611" t="s">
        <v>104</v>
      </c>
      <c r="D30" s="611"/>
      <c r="E30" s="612" t="s">
        <v>107</v>
      </c>
      <c r="F30" s="613"/>
      <c r="G30" s="386" t="s">
        <v>109</v>
      </c>
      <c r="H30" s="384" t="s">
        <v>111</v>
      </c>
      <c r="I30" s="395" t="s">
        <v>113</v>
      </c>
      <c r="J30" s="561" t="s">
        <v>115</v>
      </c>
      <c r="K30" s="562"/>
      <c r="L30" s="563"/>
      <c r="M30" s="339" t="s">
        <v>117</v>
      </c>
      <c r="N30" s="559" t="s">
        <v>118</v>
      </c>
      <c r="O30" s="560"/>
      <c r="P30" s="399" t="s">
        <v>126</v>
      </c>
      <c r="Q30" s="406" t="s">
        <v>120</v>
      </c>
      <c r="R30" s="601" t="s">
        <v>41</v>
      </c>
    </row>
    <row r="31" spans="1:19">
      <c r="A31" s="318" t="s">
        <v>40</v>
      </c>
      <c r="B31" s="413" t="s">
        <v>4</v>
      </c>
      <c r="C31" s="414" t="s">
        <v>105</v>
      </c>
      <c r="D31" s="415" t="s">
        <v>106</v>
      </c>
      <c r="E31" s="127" t="s">
        <v>257</v>
      </c>
      <c r="F31" s="127" t="s">
        <v>258</v>
      </c>
      <c r="G31" s="387" t="s">
        <v>110</v>
      </c>
      <c r="H31" s="385" t="s">
        <v>112</v>
      </c>
      <c r="I31" s="148" t="s">
        <v>114</v>
      </c>
      <c r="J31" s="149" t="s">
        <v>105</v>
      </c>
      <c r="K31" s="400" t="s">
        <v>116</v>
      </c>
      <c r="L31" s="150" t="s">
        <v>134</v>
      </c>
      <c r="M31" s="347" t="s">
        <v>105</v>
      </c>
      <c r="N31" s="129" t="s">
        <v>119</v>
      </c>
      <c r="O31" s="169" t="s">
        <v>118</v>
      </c>
      <c r="P31" s="169" t="s">
        <v>127</v>
      </c>
      <c r="Q31" s="407" t="s">
        <v>121</v>
      </c>
      <c r="R31" s="602"/>
    </row>
    <row r="32" spans="1:19">
      <c r="A32" s="319">
        <v>5220500</v>
      </c>
      <c r="B32" s="404"/>
      <c r="C32" s="404">
        <v>19100</v>
      </c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229"/>
      <c r="O32" s="229"/>
      <c r="P32" s="229"/>
      <c r="Q32" s="404"/>
      <c r="R32" s="404">
        <f>SUM(B32:Q32)</f>
        <v>19100</v>
      </c>
      <c r="S32" s="39" t="s">
        <v>194</v>
      </c>
    </row>
    <row r="33" spans="1:19">
      <c r="A33" s="225" t="s">
        <v>42</v>
      </c>
      <c r="B33" s="402">
        <v>0</v>
      </c>
      <c r="C33" s="402">
        <f>SUM(C32)</f>
        <v>19100</v>
      </c>
      <c r="D33" s="402">
        <f t="shared" ref="D33:P33" si="4">SUM(D32)</f>
        <v>0</v>
      </c>
      <c r="E33" s="402">
        <f t="shared" si="4"/>
        <v>0</v>
      </c>
      <c r="F33" s="402">
        <f t="shared" si="4"/>
        <v>0</v>
      </c>
      <c r="G33" s="402">
        <f t="shared" si="4"/>
        <v>0</v>
      </c>
      <c r="H33" s="402">
        <f t="shared" si="4"/>
        <v>0</v>
      </c>
      <c r="I33" s="402">
        <f t="shared" si="4"/>
        <v>0</v>
      </c>
      <c r="J33" s="402">
        <f t="shared" si="4"/>
        <v>0</v>
      </c>
      <c r="K33" s="402">
        <f t="shared" si="4"/>
        <v>0</v>
      </c>
      <c r="L33" s="402">
        <f t="shared" si="4"/>
        <v>0</v>
      </c>
      <c r="M33" s="402">
        <f t="shared" si="4"/>
        <v>0</v>
      </c>
      <c r="N33" s="402">
        <f t="shared" si="4"/>
        <v>0</v>
      </c>
      <c r="O33" s="402">
        <f t="shared" si="4"/>
        <v>0</v>
      </c>
      <c r="P33" s="402">
        <f t="shared" si="4"/>
        <v>0</v>
      </c>
      <c r="Q33" s="402">
        <f>SUM(Q32)</f>
        <v>0</v>
      </c>
      <c r="R33" s="402">
        <f>SUM(B33:Q33)</f>
        <v>19100</v>
      </c>
    </row>
    <row r="34" spans="1:19">
      <c r="A34" s="225" t="s">
        <v>43</v>
      </c>
      <c r="B34" s="402">
        <f>SUM(B33)</f>
        <v>0</v>
      </c>
      <c r="C34" s="402">
        <f>75160+18790+18790+18790+19410+19100</f>
        <v>170040</v>
      </c>
      <c r="D34" s="402">
        <f t="shared" ref="D34:Q34" si="5">SUM(D33)</f>
        <v>0</v>
      </c>
      <c r="E34" s="402">
        <f t="shared" si="5"/>
        <v>0</v>
      </c>
      <c r="F34" s="402">
        <f t="shared" si="5"/>
        <v>0</v>
      </c>
      <c r="G34" s="402">
        <f t="shared" si="5"/>
        <v>0</v>
      </c>
      <c r="H34" s="402">
        <f t="shared" si="5"/>
        <v>0</v>
      </c>
      <c r="I34" s="402">
        <f t="shared" si="5"/>
        <v>0</v>
      </c>
      <c r="J34" s="402">
        <f t="shared" si="5"/>
        <v>0</v>
      </c>
      <c r="K34" s="402">
        <f t="shared" si="5"/>
        <v>0</v>
      </c>
      <c r="L34" s="402">
        <f t="shared" si="5"/>
        <v>0</v>
      </c>
      <c r="M34" s="402">
        <f t="shared" si="5"/>
        <v>0</v>
      </c>
      <c r="N34" s="402">
        <f t="shared" si="5"/>
        <v>0</v>
      </c>
      <c r="O34" s="402">
        <f t="shared" si="5"/>
        <v>0</v>
      </c>
      <c r="P34" s="402">
        <f t="shared" si="5"/>
        <v>0</v>
      </c>
      <c r="Q34" s="402">
        <f t="shared" si="5"/>
        <v>0</v>
      </c>
      <c r="R34" s="402">
        <f>SUM(B34:Q34)</f>
        <v>170040</v>
      </c>
    </row>
    <row r="35" spans="1:19">
      <c r="A35" s="319">
        <v>5220700</v>
      </c>
      <c r="B35" s="404"/>
      <c r="C35" s="404">
        <v>92290</v>
      </c>
      <c r="D35" s="404">
        <v>24130</v>
      </c>
      <c r="E35" s="404"/>
      <c r="F35" s="404"/>
      <c r="G35" s="404"/>
      <c r="H35" s="404"/>
      <c r="I35" s="404"/>
      <c r="J35" s="404">
        <v>48280</v>
      </c>
      <c r="K35" s="404"/>
      <c r="L35" s="404"/>
      <c r="M35" s="404">
        <v>24130</v>
      </c>
      <c r="N35" s="229"/>
      <c r="O35" s="229"/>
      <c r="P35" s="229"/>
      <c r="Q35" s="404"/>
      <c r="R35" s="404">
        <f>SUM(B35:Q35)</f>
        <v>188830</v>
      </c>
      <c r="S35" s="39" t="s">
        <v>200</v>
      </c>
    </row>
    <row r="36" spans="1:19">
      <c r="A36" s="248">
        <v>5220800</v>
      </c>
      <c r="B36" s="402"/>
      <c r="C36" s="402">
        <v>7855</v>
      </c>
      <c r="D36" s="402">
        <v>2440</v>
      </c>
      <c r="E36" s="402"/>
      <c r="F36" s="402"/>
      <c r="G36" s="402"/>
      <c r="H36" s="402"/>
      <c r="I36" s="402"/>
      <c r="J36" s="402">
        <v>5005</v>
      </c>
      <c r="K36" s="402"/>
      <c r="L36" s="402"/>
      <c r="M36" s="402">
        <v>2440</v>
      </c>
      <c r="N36" s="37"/>
      <c r="O36" s="37"/>
      <c r="P36" s="37"/>
      <c r="Q36" s="402"/>
      <c r="R36" s="404">
        <f>SUM(B36:Q36)</f>
        <v>17740</v>
      </c>
      <c r="S36" s="39" t="s">
        <v>198</v>
      </c>
    </row>
    <row r="37" spans="1:19">
      <c r="A37" s="228" t="s">
        <v>42</v>
      </c>
      <c r="B37" s="404">
        <v>0</v>
      </c>
      <c r="C37" s="404">
        <f>SUM(C35:C36)</f>
        <v>100145</v>
      </c>
      <c r="D37" s="404">
        <f>SUM(D35:D36)</f>
        <v>26570</v>
      </c>
      <c r="E37" s="404">
        <f t="shared" ref="E37:Q37" si="6">SUM(E35:E36)</f>
        <v>0</v>
      </c>
      <c r="F37" s="404">
        <v>0</v>
      </c>
      <c r="G37" s="404">
        <f t="shared" si="6"/>
        <v>0</v>
      </c>
      <c r="H37" s="404">
        <f t="shared" si="6"/>
        <v>0</v>
      </c>
      <c r="I37" s="404">
        <f t="shared" si="6"/>
        <v>0</v>
      </c>
      <c r="J37" s="404">
        <f>SUM(J35:J36)</f>
        <v>53285</v>
      </c>
      <c r="K37" s="404">
        <f t="shared" si="6"/>
        <v>0</v>
      </c>
      <c r="L37" s="404">
        <f t="shared" si="6"/>
        <v>0</v>
      </c>
      <c r="M37" s="404">
        <f>SUM(M35:M36)</f>
        <v>26570</v>
      </c>
      <c r="N37" s="229">
        <f t="shared" si="6"/>
        <v>0</v>
      </c>
      <c r="O37" s="229">
        <f t="shared" si="6"/>
        <v>0</v>
      </c>
      <c r="P37" s="229">
        <v>0</v>
      </c>
      <c r="Q37" s="404">
        <f t="shared" si="6"/>
        <v>0</v>
      </c>
      <c r="R37" s="404">
        <f>SUM(C37:Q37)</f>
        <v>206570</v>
      </c>
    </row>
    <row r="38" spans="1:19">
      <c r="A38" s="225" t="s">
        <v>43</v>
      </c>
      <c r="B38" s="402">
        <f>SUM(B37)</f>
        <v>0</v>
      </c>
      <c r="C38" s="402">
        <f>400580+100145+100145+100145+100145+100145</f>
        <v>901305</v>
      </c>
      <c r="D38" s="402">
        <f>106280+26570+26570+26570+26570+26570</f>
        <v>239130</v>
      </c>
      <c r="E38" s="402">
        <f t="shared" ref="E38:Q38" si="7">SUM(E37)</f>
        <v>0</v>
      </c>
      <c r="F38" s="402">
        <f t="shared" si="7"/>
        <v>0</v>
      </c>
      <c r="G38" s="402">
        <f t="shared" si="7"/>
        <v>0</v>
      </c>
      <c r="H38" s="402">
        <f t="shared" si="7"/>
        <v>0</v>
      </c>
      <c r="I38" s="402">
        <f t="shared" si="7"/>
        <v>0</v>
      </c>
      <c r="J38" s="402">
        <f>176360+43285+43285+43285+51026+53285</f>
        <v>410526</v>
      </c>
      <c r="K38" s="402">
        <f t="shared" si="7"/>
        <v>0</v>
      </c>
      <c r="L38" s="402">
        <f t="shared" si="7"/>
        <v>0</v>
      </c>
      <c r="M38" s="402">
        <f>106280+26570+26570+26570+26570+26570</f>
        <v>239130</v>
      </c>
      <c r="N38" s="402">
        <f t="shared" si="7"/>
        <v>0</v>
      </c>
      <c r="O38" s="402">
        <f t="shared" si="7"/>
        <v>0</v>
      </c>
      <c r="P38" s="402">
        <f t="shared" si="7"/>
        <v>0</v>
      </c>
      <c r="Q38" s="402">
        <f t="shared" si="7"/>
        <v>0</v>
      </c>
      <c r="R38" s="402">
        <f t="shared" ref="R38:R43" si="8">SUM(B38:Q38)</f>
        <v>1790091</v>
      </c>
      <c r="S38" s="136"/>
    </row>
    <row r="39" spans="1:19">
      <c r="A39" s="319">
        <v>5310100</v>
      </c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229"/>
      <c r="O39" s="229"/>
      <c r="P39" s="229"/>
      <c r="Q39" s="404"/>
      <c r="R39" s="404">
        <f t="shared" si="8"/>
        <v>0</v>
      </c>
      <c r="S39" s="39" t="s">
        <v>202</v>
      </c>
    </row>
    <row r="40" spans="1:19">
      <c r="A40" s="319">
        <v>5310400</v>
      </c>
      <c r="B40" s="404"/>
      <c r="C40" s="404">
        <v>10500</v>
      </c>
      <c r="D40" s="404">
        <v>3000</v>
      </c>
      <c r="E40" s="404"/>
      <c r="F40" s="404"/>
      <c r="G40" s="404"/>
      <c r="H40" s="404"/>
      <c r="I40" s="404"/>
      <c r="J40" s="404"/>
      <c r="K40" s="404"/>
      <c r="L40" s="404"/>
      <c r="M40" s="404"/>
      <c r="N40" s="229"/>
      <c r="O40" s="229"/>
      <c r="P40" s="229"/>
      <c r="Q40" s="404"/>
      <c r="R40" s="404">
        <f t="shared" si="8"/>
        <v>13500</v>
      </c>
      <c r="S40" s="39" t="s">
        <v>203</v>
      </c>
    </row>
    <row r="41" spans="1:19">
      <c r="A41" s="319">
        <v>5310300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5">
        <f t="shared" si="8"/>
        <v>0</v>
      </c>
      <c r="S41" s="39" t="s">
        <v>218</v>
      </c>
    </row>
    <row r="42" spans="1:19">
      <c r="A42" s="319">
        <v>5310500</v>
      </c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5">
        <f t="shared" si="8"/>
        <v>0</v>
      </c>
      <c r="S42" s="39" t="s">
        <v>255</v>
      </c>
    </row>
    <row r="43" spans="1:19">
      <c r="A43" s="225" t="s">
        <v>42</v>
      </c>
      <c r="B43" s="401">
        <v>0</v>
      </c>
      <c r="C43" s="401">
        <f>SUM(C39:C42)</f>
        <v>10500</v>
      </c>
      <c r="D43" s="401">
        <f>SUM(D39:D42)</f>
        <v>3000</v>
      </c>
      <c r="E43" s="401">
        <f t="shared" ref="E43:Q43" si="9">SUM(E39:E41)</f>
        <v>0</v>
      </c>
      <c r="F43" s="401">
        <v>0</v>
      </c>
      <c r="G43" s="401">
        <f t="shared" si="9"/>
        <v>0</v>
      </c>
      <c r="H43" s="401">
        <f t="shared" si="9"/>
        <v>0</v>
      </c>
      <c r="I43" s="401">
        <f t="shared" si="9"/>
        <v>0</v>
      </c>
      <c r="J43" s="401">
        <f>SUM(J39:J42)</f>
        <v>0</v>
      </c>
      <c r="K43" s="401">
        <f t="shared" si="9"/>
        <v>0</v>
      </c>
      <c r="L43" s="401">
        <f t="shared" si="9"/>
        <v>0</v>
      </c>
      <c r="M43" s="401">
        <f>SUM(M39:M42)</f>
        <v>0</v>
      </c>
      <c r="N43" s="401">
        <f t="shared" si="9"/>
        <v>0</v>
      </c>
      <c r="O43" s="401">
        <f t="shared" si="9"/>
        <v>0</v>
      </c>
      <c r="P43" s="401">
        <v>0</v>
      </c>
      <c r="Q43" s="401">
        <f t="shared" si="9"/>
        <v>0</v>
      </c>
      <c r="R43" s="402">
        <f t="shared" si="8"/>
        <v>13500</v>
      </c>
      <c r="S43" s="136"/>
    </row>
    <row r="44" spans="1:19">
      <c r="A44" s="225" t="s">
        <v>43</v>
      </c>
      <c r="B44" s="401">
        <f>SUM(B43)</f>
        <v>0</v>
      </c>
      <c r="C44" s="401">
        <f>41350+3500+12500+3500+7420+10500</f>
        <v>78770</v>
      </c>
      <c r="D44" s="401">
        <f>12000+3000+3000+3000+4000+3000</f>
        <v>28000</v>
      </c>
      <c r="E44" s="401"/>
      <c r="F44" s="401"/>
      <c r="G44" s="401"/>
      <c r="H44" s="401"/>
      <c r="I44" s="401"/>
      <c r="J44" s="401">
        <f>15660+23520+11760+17720</f>
        <v>68660</v>
      </c>
      <c r="K44" s="401"/>
      <c r="L44" s="401"/>
      <c r="M44" s="401">
        <v>12521.75</v>
      </c>
      <c r="N44" s="401"/>
      <c r="O44" s="401"/>
      <c r="P44" s="401"/>
      <c r="Q44" s="401"/>
      <c r="R44" s="402">
        <f t="shared" ref="R44:R53" si="10">SUM(B44:Q44)</f>
        <v>187951.75</v>
      </c>
    </row>
    <row r="45" spans="1:19">
      <c r="A45" s="248">
        <v>5320100</v>
      </c>
      <c r="B45" s="401"/>
      <c r="C45" s="401">
        <v>15938</v>
      </c>
      <c r="D45" s="401">
        <v>13297</v>
      </c>
      <c r="E45" s="401"/>
      <c r="F45" s="401"/>
      <c r="G45" s="401"/>
      <c r="H45" s="401"/>
      <c r="I45" s="401"/>
      <c r="J45" s="401"/>
      <c r="K45" s="401">
        <v>18000</v>
      </c>
      <c r="L45" s="401"/>
      <c r="M45" s="401">
        <v>40645</v>
      </c>
      <c r="N45" s="401"/>
      <c r="O45" s="401"/>
      <c r="P45" s="401"/>
      <c r="Q45" s="401">
        <v>3000</v>
      </c>
      <c r="R45" s="402">
        <f t="shared" si="10"/>
        <v>90880</v>
      </c>
      <c r="S45" s="39" t="s">
        <v>201</v>
      </c>
    </row>
    <row r="46" spans="1:19">
      <c r="A46" s="248">
        <v>5320400</v>
      </c>
      <c r="B46" s="401"/>
      <c r="C46" s="401">
        <v>1080</v>
      </c>
      <c r="D46" s="401"/>
      <c r="E46" s="401">
        <v>15160</v>
      </c>
      <c r="F46" s="401"/>
      <c r="G46" s="401"/>
      <c r="H46" s="401"/>
      <c r="I46" s="401"/>
      <c r="J46" s="401"/>
      <c r="K46" s="401"/>
      <c r="L46" s="401"/>
      <c r="M46" s="401">
        <v>16900</v>
      </c>
      <c r="N46" s="401"/>
      <c r="O46" s="401"/>
      <c r="P46" s="401"/>
      <c r="Q46" s="401">
        <v>65000</v>
      </c>
      <c r="R46" s="402">
        <f t="shared" si="10"/>
        <v>98140</v>
      </c>
      <c r="S46" s="39" t="s">
        <v>204</v>
      </c>
    </row>
    <row r="47" spans="1:19">
      <c r="A47" s="248">
        <v>5320200</v>
      </c>
      <c r="B47" s="401"/>
      <c r="C47" s="401">
        <v>2010</v>
      </c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2">
        <f t="shared" si="10"/>
        <v>2010</v>
      </c>
      <c r="S47" s="39" t="s">
        <v>205</v>
      </c>
    </row>
    <row r="48" spans="1:19">
      <c r="A48" s="248">
        <v>5320300</v>
      </c>
      <c r="B48" s="401"/>
      <c r="C48" s="401">
        <f>29280+43740</f>
        <v>73020</v>
      </c>
      <c r="D48" s="401">
        <v>28000</v>
      </c>
      <c r="E48" s="401"/>
      <c r="F48" s="401"/>
      <c r="G48" s="401">
        <v>48400</v>
      </c>
      <c r="H48" s="401"/>
      <c r="I48" s="401">
        <f>10600+7900</f>
        <v>18500</v>
      </c>
      <c r="J48" s="401"/>
      <c r="K48" s="401"/>
      <c r="L48" s="401">
        <v>43000</v>
      </c>
      <c r="M48" s="401">
        <v>24832</v>
      </c>
      <c r="N48" s="401">
        <v>15000</v>
      </c>
      <c r="O48" s="401"/>
      <c r="P48" s="402"/>
      <c r="Q48" s="401"/>
      <c r="R48" s="402">
        <f t="shared" si="10"/>
        <v>250752</v>
      </c>
      <c r="S48" s="39" t="s">
        <v>206</v>
      </c>
    </row>
    <row r="49" spans="1:20">
      <c r="A49" s="225" t="s">
        <v>42</v>
      </c>
      <c r="B49" s="401">
        <v>0</v>
      </c>
      <c r="C49" s="401">
        <f>SUM(C45:C48)</f>
        <v>92048</v>
      </c>
      <c r="D49" s="401">
        <f t="shared" ref="D49:Q49" si="11">SUM(D45:D48)</f>
        <v>41297</v>
      </c>
      <c r="E49" s="401">
        <f t="shared" si="11"/>
        <v>15160</v>
      </c>
      <c r="F49" s="401">
        <f t="shared" si="11"/>
        <v>0</v>
      </c>
      <c r="G49" s="401">
        <f t="shared" si="11"/>
        <v>48400</v>
      </c>
      <c r="H49" s="401">
        <f t="shared" si="11"/>
        <v>0</v>
      </c>
      <c r="I49" s="401">
        <f t="shared" si="11"/>
        <v>18500</v>
      </c>
      <c r="J49" s="401">
        <f t="shared" si="11"/>
        <v>0</v>
      </c>
      <c r="K49" s="401">
        <f t="shared" si="11"/>
        <v>18000</v>
      </c>
      <c r="L49" s="401">
        <f t="shared" si="11"/>
        <v>43000</v>
      </c>
      <c r="M49" s="401">
        <f t="shared" si="11"/>
        <v>82377</v>
      </c>
      <c r="N49" s="401">
        <f t="shared" si="11"/>
        <v>15000</v>
      </c>
      <c r="O49" s="401">
        <f t="shared" si="11"/>
        <v>0</v>
      </c>
      <c r="P49" s="401">
        <f t="shared" si="11"/>
        <v>0</v>
      </c>
      <c r="Q49" s="401">
        <f t="shared" si="11"/>
        <v>68000</v>
      </c>
      <c r="R49" s="402">
        <f t="shared" si="10"/>
        <v>441782</v>
      </c>
      <c r="S49" s="498"/>
      <c r="T49" s="137"/>
    </row>
    <row r="50" spans="1:20">
      <c r="A50" s="225" t="s">
        <v>43</v>
      </c>
      <c r="B50" s="401">
        <f>SUM(B49)</f>
        <v>0</v>
      </c>
      <c r="C50" s="408">
        <f>226557.35+27804+52956.38+57589.51+65985.21+92048</f>
        <v>522940.45</v>
      </c>
      <c r="D50" s="401">
        <f>52554+8564+9169+10196.08+10229.92+41297</f>
        <v>132010</v>
      </c>
      <c r="E50" s="401">
        <v>96241</v>
      </c>
      <c r="F50" s="401">
        <v>35391</v>
      </c>
      <c r="G50" s="401">
        <f>178244.52+54400+64280.3+48850+54600+48400</f>
        <v>448774.82</v>
      </c>
      <c r="H50" s="401"/>
      <c r="I50" s="401">
        <f>28454+18220+32840+49370+18500</f>
        <v>147384</v>
      </c>
      <c r="J50" s="401">
        <v>5320</v>
      </c>
      <c r="K50" s="401">
        <f>60588+29425.67+31800+18000+38317+88400+18000</f>
        <v>284530.67</v>
      </c>
      <c r="L50" s="401">
        <f>133716+63000+44800+126330+47100+43000</f>
        <v>457946</v>
      </c>
      <c r="M50" s="408">
        <f>973848+97082+413101+48200+44600+82377</f>
        <v>1659208</v>
      </c>
      <c r="N50" s="401">
        <f>76053+197475+15000</f>
        <v>288528</v>
      </c>
      <c r="O50" s="401">
        <f>4960+4550</f>
        <v>9510</v>
      </c>
      <c r="P50" s="401"/>
      <c r="Q50" s="401">
        <f>9000+12800+3000+3000+3000+68000</f>
        <v>98800</v>
      </c>
      <c r="R50" s="402">
        <f t="shared" si="10"/>
        <v>4186583.94</v>
      </c>
      <c r="S50" s="136"/>
      <c r="T50" s="137"/>
    </row>
    <row r="51" spans="1:20">
      <c r="A51" s="319">
        <v>5330400</v>
      </c>
      <c r="B51" s="408"/>
      <c r="C51" s="408"/>
      <c r="D51" s="408"/>
      <c r="E51" s="408"/>
      <c r="F51" s="408"/>
      <c r="G51" s="408"/>
      <c r="H51" s="408"/>
      <c r="I51" s="408"/>
      <c r="J51" s="408"/>
      <c r="K51" s="408"/>
      <c r="L51" s="408"/>
      <c r="M51" s="408">
        <v>53416.44</v>
      </c>
      <c r="N51" s="408"/>
      <c r="O51" s="408"/>
      <c r="P51" s="408"/>
      <c r="Q51" s="408"/>
      <c r="R51" s="404">
        <f t="shared" si="10"/>
        <v>53416.44</v>
      </c>
      <c r="S51" s="136" t="s">
        <v>233</v>
      </c>
      <c r="T51" s="137"/>
    </row>
    <row r="52" spans="1:20">
      <c r="A52" s="319">
        <v>5330100</v>
      </c>
      <c r="B52" s="408"/>
      <c r="C52" s="408">
        <v>590</v>
      </c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4">
        <f t="shared" si="10"/>
        <v>590</v>
      </c>
      <c r="S52" s="136" t="s">
        <v>207</v>
      </c>
      <c r="T52" s="137"/>
    </row>
    <row r="53" spans="1:20">
      <c r="A53" s="319">
        <v>5330200</v>
      </c>
      <c r="B53" s="408"/>
      <c r="C53" s="408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4">
        <f t="shared" si="10"/>
        <v>0</v>
      </c>
      <c r="S53" s="136" t="s">
        <v>208</v>
      </c>
      <c r="T53" s="137"/>
    </row>
    <row r="54" spans="1:20">
      <c r="A54" s="316"/>
      <c r="B54" s="409"/>
      <c r="C54" s="409"/>
      <c r="D54" s="409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409"/>
      <c r="R54" s="403"/>
    </row>
    <row r="55" spans="1:20">
      <c r="A55" s="316"/>
      <c r="B55" s="409"/>
      <c r="C55" s="409"/>
      <c r="D55" s="409"/>
      <c r="E55" s="323"/>
      <c r="F55" s="323"/>
      <c r="G55" s="323"/>
      <c r="H55" s="323"/>
      <c r="I55" s="323"/>
      <c r="J55" s="323"/>
      <c r="K55" s="323"/>
      <c r="L55" s="323"/>
      <c r="M55" s="323"/>
      <c r="N55" s="323"/>
      <c r="O55" s="323"/>
      <c r="P55" s="323"/>
      <c r="Q55" s="409"/>
      <c r="R55" s="403"/>
    </row>
    <row r="56" spans="1:20">
      <c r="A56" s="316"/>
      <c r="B56" s="409"/>
      <c r="C56" s="409"/>
      <c r="D56" s="409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409"/>
      <c r="R56" s="403"/>
    </row>
    <row r="57" spans="1:20">
      <c r="A57" s="317" t="s">
        <v>39</v>
      </c>
      <c r="B57" s="412" t="s">
        <v>4</v>
      </c>
      <c r="C57" s="611" t="s">
        <v>104</v>
      </c>
      <c r="D57" s="611"/>
      <c r="E57" s="612" t="s">
        <v>107</v>
      </c>
      <c r="F57" s="613"/>
      <c r="G57" s="386" t="s">
        <v>109</v>
      </c>
      <c r="H57" s="384" t="s">
        <v>111</v>
      </c>
      <c r="I57" s="389" t="s">
        <v>113</v>
      </c>
      <c r="J57" s="561" t="s">
        <v>115</v>
      </c>
      <c r="K57" s="562"/>
      <c r="L57" s="563"/>
      <c r="M57" s="339" t="s">
        <v>117</v>
      </c>
      <c r="N57" s="559" t="s">
        <v>118</v>
      </c>
      <c r="O57" s="560"/>
      <c r="P57" s="399" t="s">
        <v>126</v>
      </c>
      <c r="Q57" s="406" t="s">
        <v>120</v>
      </c>
      <c r="R57" s="601" t="s">
        <v>41</v>
      </c>
    </row>
    <row r="58" spans="1:20">
      <c r="A58" s="318" t="s">
        <v>40</v>
      </c>
      <c r="B58" s="413" t="s">
        <v>4</v>
      </c>
      <c r="C58" s="414" t="s">
        <v>105</v>
      </c>
      <c r="D58" s="415" t="s">
        <v>106</v>
      </c>
      <c r="E58" s="127" t="s">
        <v>257</v>
      </c>
      <c r="F58" s="127" t="s">
        <v>258</v>
      </c>
      <c r="G58" s="387" t="s">
        <v>110</v>
      </c>
      <c r="H58" s="385" t="s">
        <v>112</v>
      </c>
      <c r="I58" s="390" t="s">
        <v>114</v>
      </c>
      <c r="J58" s="149" t="s">
        <v>105</v>
      </c>
      <c r="K58" s="400" t="s">
        <v>116</v>
      </c>
      <c r="L58" s="150" t="s">
        <v>134</v>
      </c>
      <c r="M58" s="347" t="s">
        <v>105</v>
      </c>
      <c r="N58" s="129" t="s">
        <v>119</v>
      </c>
      <c r="O58" s="169" t="s">
        <v>118</v>
      </c>
      <c r="P58" s="169" t="s">
        <v>127</v>
      </c>
      <c r="Q58" s="407" t="s">
        <v>121</v>
      </c>
      <c r="R58" s="602"/>
    </row>
    <row r="59" spans="1:20">
      <c r="A59" s="319">
        <v>5330300</v>
      </c>
      <c r="B59" s="410"/>
      <c r="C59" s="410"/>
      <c r="D59" s="410"/>
      <c r="E59" s="410"/>
      <c r="F59" s="410"/>
      <c r="G59" s="410"/>
      <c r="H59" s="410"/>
      <c r="I59" s="410"/>
      <c r="J59" s="410"/>
      <c r="K59" s="410"/>
      <c r="L59" s="410"/>
      <c r="M59" s="410">
        <v>29920</v>
      </c>
      <c r="N59" s="410"/>
      <c r="O59" s="410"/>
      <c r="P59" s="410"/>
      <c r="Q59" s="410"/>
      <c r="R59" s="404">
        <f>SUM(B59:Q59)</f>
        <v>29920</v>
      </c>
      <c r="S59" s="39" t="s">
        <v>245</v>
      </c>
    </row>
    <row r="60" spans="1:20">
      <c r="A60" s="319">
        <v>5330800</v>
      </c>
      <c r="B60" s="410"/>
      <c r="C60" s="410">
        <v>5748.6</v>
      </c>
      <c r="D60" s="410"/>
      <c r="E60" s="410">
        <v>5383.9</v>
      </c>
      <c r="F60" s="410"/>
      <c r="G60" s="410">
        <v>9019.6</v>
      </c>
      <c r="H60" s="410"/>
      <c r="I60" s="410"/>
      <c r="J60" s="410"/>
      <c r="K60" s="410">
        <v>9328.2999999999993</v>
      </c>
      <c r="L60" s="410">
        <v>9576</v>
      </c>
      <c r="M60" s="410"/>
      <c r="N60" s="410"/>
      <c r="O60" s="410"/>
      <c r="P60" s="410"/>
      <c r="Q60" s="410"/>
      <c r="R60" s="404">
        <f>SUM(B60:Q60)</f>
        <v>39056.399999999994</v>
      </c>
      <c r="S60" s="39" t="s">
        <v>210</v>
      </c>
    </row>
    <row r="61" spans="1:20">
      <c r="A61" s="248">
        <v>5330600</v>
      </c>
      <c r="B61" s="401"/>
      <c r="C61" s="401"/>
      <c r="D61" s="401"/>
      <c r="E61" s="401"/>
      <c r="F61" s="401"/>
      <c r="G61" s="401"/>
      <c r="H61" s="401"/>
      <c r="I61" s="401"/>
      <c r="J61" s="401"/>
      <c r="K61" s="401">
        <v>84300</v>
      </c>
      <c r="L61" s="401"/>
      <c r="M61" s="401"/>
      <c r="N61" s="401"/>
      <c r="O61" s="401"/>
      <c r="P61" s="401"/>
      <c r="Q61" s="401">
        <v>3690</v>
      </c>
      <c r="R61" s="404">
        <f>SUM(B61:Q61)</f>
        <v>87990</v>
      </c>
      <c r="S61" s="39" t="s">
        <v>209</v>
      </c>
    </row>
    <row r="62" spans="1:20">
      <c r="A62" s="248">
        <v>5330700</v>
      </c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4">
        <f>SUM(B62:Q62)</f>
        <v>0</v>
      </c>
      <c r="S62" s="39" t="s">
        <v>216</v>
      </c>
    </row>
    <row r="63" spans="1:20">
      <c r="A63" s="248">
        <v>5330900</v>
      </c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4">
        <f>SUM(B63:Q63)</f>
        <v>0</v>
      </c>
      <c r="S63" s="39" t="s">
        <v>237</v>
      </c>
    </row>
    <row r="64" spans="1:20">
      <c r="A64" s="248">
        <v>5331400</v>
      </c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4">
        <f t="shared" ref="R64:R73" si="12">SUM(B64:Q64)</f>
        <v>0</v>
      </c>
      <c r="S64" s="39" t="s">
        <v>217</v>
      </c>
    </row>
    <row r="65" spans="1:19">
      <c r="A65" s="248">
        <v>5331300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4">
        <f t="shared" si="12"/>
        <v>0</v>
      </c>
      <c r="S65" s="39" t="s">
        <v>241</v>
      </c>
    </row>
    <row r="66" spans="1:19">
      <c r="A66" s="248">
        <v>5331200</v>
      </c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4">
        <f t="shared" si="12"/>
        <v>0</v>
      </c>
      <c r="S66" s="39" t="s">
        <v>379</v>
      </c>
    </row>
    <row r="67" spans="1:19">
      <c r="A67" s="225" t="s">
        <v>42</v>
      </c>
      <c r="B67" s="401">
        <v>0</v>
      </c>
      <c r="C67" s="401">
        <f>SUM(C51:C66)</f>
        <v>6338.6</v>
      </c>
      <c r="D67" s="401">
        <f t="shared" ref="D67:Q67" si="13">SUM(D51:D66)</f>
        <v>0</v>
      </c>
      <c r="E67" s="401">
        <f t="shared" si="13"/>
        <v>5383.9</v>
      </c>
      <c r="F67" s="401">
        <f t="shared" si="13"/>
        <v>0</v>
      </c>
      <c r="G67" s="401">
        <f t="shared" si="13"/>
        <v>9019.6</v>
      </c>
      <c r="H67" s="401">
        <f t="shared" si="13"/>
        <v>0</v>
      </c>
      <c r="I67" s="401">
        <f t="shared" si="13"/>
        <v>0</v>
      </c>
      <c r="J67" s="401">
        <f t="shared" si="13"/>
        <v>0</v>
      </c>
      <c r="K67" s="401">
        <f t="shared" si="13"/>
        <v>93628.3</v>
      </c>
      <c r="L67" s="401">
        <f t="shared" si="13"/>
        <v>9576</v>
      </c>
      <c r="M67" s="401">
        <f t="shared" si="13"/>
        <v>83336.44</v>
      </c>
      <c r="N67" s="401">
        <f t="shared" si="13"/>
        <v>0</v>
      </c>
      <c r="O67" s="401">
        <f t="shared" si="13"/>
        <v>0</v>
      </c>
      <c r="P67" s="401">
        <f t="shared" si="13"/>
        <v>0</v>
      </c>
      <c r="Q67" s="401">
        <f t="shared" si="13"/>
        <v>3690</v>
      </c>
      <c r="R67" s="401">
        <f>SUM(B67:Q67)</f>
        <v>210972.84</v>
      </c>
      <c r="S67" s="136"/>
    </row>
    <row r="68" spans="1:19">
      <c r="A68" s="225" t="s">
        <v>43</v>
      </c>
      <c r="B68" s="401">
        <f>SUM(B67)</f>
        <v>0</v>
      </c>
      <c r="C68" s="408">
        <f>30117.63+6541.53+24120.06+50340.86+5520.4+6338.6</f>
        <v>122979.08</v>
      </c>
      <c r="D68" s="401">
        <v>34880</v>
      </c>
      <c r="E68" s="401">
        <v>27423.34</v>
      </c>
      <c r="F68" s="401"/>
      <c r="G68" s="401">
        <f>26158.8+6697.4+6993.1+5376.6+23811.6+9019.6</f>
        <v>78057.100000000006</v>
      </c>
      <c r="H68" s="401"/>
      <c r="I68" s="401"/>
      <c r="J68" s="401">
        <v>24010</v>
      </c>
      <c r="K68" s="401">
        <f>41475.32+89645.7+24969.3+8604.3+114172.35+468043.65+93628.3</f>
        <v>840538.92</v>
      </c>
      <c r="L68" s="401">
        <f>27676.89+4570.5+4480.5+4480.5+4600.5+9576</f>
        <v>55384.89</v>
      </c>
      <c r="M68" s="401">
        <f>230495.92+123222.4+100542.4+307003.78+27351+83336.44</f>
        <v>871951.94</v>
      </c>
      <c r="N68" s="401">
        <v>63591</v>
      </c>
      <c r="O68" s="401"/>
      <c r="P68" s="401"/>
      <c r="Q68" s="401">
        <f>42455+18200+6500+3380+26760+3690</f>
        <v>100985</v>
      </c>
      <c r="R68" s="402">
        <f>SUM(B68:Q68)</f>
        <v>2219801.2699999996</v>
      </c>
      <c r="S68" s="235"/>
    </row>
    <row r="69" spans="1:19">
      <c r="A69" s="319">
        <v>5340100</v>
      </c>
      <c r="B69" s="408"/>
      <c r="C69" s="408">
        <v>26565.08</v>
      </c>
      <c r="D69" s="408"/>
      <c r="E69" s="408"/>
      <c r="F69" s="408"/>
      <c r="G69" s="408"/>
      <c r="H69" s="408"/>
      <c r="I69" s="408"/>
      <c r="J69" s="408"/>
      <c r="K69" s="401"/>
      <c r="L69" s="401"/>
      <c r="M69" s="408">
        <v>2268.77</v>
      </c>
      <c r="N69" s="408"/>
      <c r="O69" s="408"/>
      <c r="P69" s="408"/>
      <c r="Q69" s="408">
        <v>55192.160000000003</v>
      </c>
      <c r="R69" s="404">
        <f t="shared" si="12"/>
        <v>84026.010000000009</v>
      </c>
      <c r="S69" s="39" t="s">
        <v>208</v>
      </c>
    </row>
    <row r="70" spans="1:19">
      <c r="A70" s="248">
        <v>5340200</v>
      </c>
      <c r="B70" s="401"/>
      <c r="C70" s="401">
        <v>1448.78</v>
      </c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2">
        <f t="shared" si="12"/>
        <v>1448.78</v>
      </c>
      <c r="S70" s="39" t="s">
        <v>212</v>
      </c>
    </row>
    <row r="71" spans="1:19">
      <c r="A71" s="248">
        <v>5340300</v>
      </c>
      <c r="B71" s="401"/>
      <c r="C71" s="401">
        <v>235.4</v>
      </c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2">
        <f t="shared" si="12"/>
        <v>235.4</v>
      </c>
      <c r="S71" s="39" t="s">
        <v>213</v>
      </c>
    </row>
    <row r="72" spans="1:19">
      <c r="A72" s="248">
        <v>5340400</v>
      </c>
      <c r="B72" s="401"/>
      <c r="C72" s="401">
        <v>581</v>
      </c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2">
        <f t="shared" si="12"/>
        <v>581</v>
      </c>
      <c r="S72" s="39" t="s">
        <v>214</v>
      </c>
    </row>
    <row r="73" spans="1:19">
      <c r="A73" s="248">
        <v>5340500</v>
      </c>
      <c r="B73" s="401"/>
      <c r="C73" s="401">
        <v>9095</v>
      </c>
      <c r="D73" s="401"/>
      <c r="E73" s="401"/>
      <c r="F73" s="401"/>
      <c r="G73" s="401"/>
      <c r="H73" s="401"/>
      <c r="I73" s="401"/>
      <c r="J73" s="401"/>
      <c r="K73" s="401"/>
      <c r="L73" s="401"/>
      <c r="M73" s="401">
        <v>4815</v>
      </c>
      <c r="N73" s="401"/>
      <c r="O73" s="401"/>
      <c r="P73" s="401"/>
      <c r="Q73" s="401"/>
      <c r="R73" s="402">
        <f t="shared" si="12"/>
        <v>13910</v>
      </c>
      <c r="S73" s="39" t="s">
        <v>215</v>
      </c>
    </row>
    <row r="74" spans="1:19">
      <c r="A74" s="225" t="s">
        <v>42</v>
      </c>
      <c r="B74" s="401">
        <v>0</v>
      </c>
      <c r="C74" s="401">
        <f>SUM(C69:C73)</f>
        <v>37925.26</v>
      </c>
      <c r="D74" s="401">
        <f t="shared" ref="D74:Q74" si="14">SUM(D69:D73)</f>
        <v>0</v>
      </c>
      <c r="E74" s="401">
        <f t="shared" si="14"/>
        <v>0</v>
      </c>
      <c r="F74" s="401">
        <f t="shared" si="14"/>
        <v>0</v>
      </c>
      <c r="G74" s="401">
        <f t="shared" si="14"/>
        <v>0</v>
      </c>
      <c r="H74" s="401">
        <f t="shared" si="14"/>
        <v>0</v>
      </c>
      <c r="I74" s="401">
        <f t="shared" si="14"/>
        <v>0</v>
      </c>
      <c r="J74" s="401">
        <f t="shared" si="14"/>
        <v>0</v>
      </c>
      <c r="K74" s="401">
        <f t="shared" si="14"/>
        <v>0</v>
      </c>
      <c r="L74" s="401">
        <f t="shared" si="14"/>
        <v>0</v>
      </c>
      <c r="M74" s="401">
        <f t="shared" si="14"/>
        <v>7083.77</v>
      </c>
      <c r="N74" s="401">
        <f t="shared" si="14"/>
        <v>0</v>
      </c>
      <c r="O74" s="401">
        <f t="shared" si="14"/>
        <v>0</v>
      </c>
      <c r="P74" s="401">
        <f t="shared" si="14"/>
        <v>0</v>
      </c>
      <c r="Q74" s="401">
        <f t="shared" si="14"/>
        <v>55192.160000000003</v>
      </c>
      <c r="R74" s="401">
        <f t="shared" ref="R74:R81" si="15">SUM(B74:Q74)</f>
        <v>100201.19</v>
      </c>
      <c r="S74" s="136"/>
    </row>
    <row r="75" spans="1:19">
      <c r="A75" s="225" t="s">
        <v>43</v>
      </c>
      <c r="B75" s="401">
        <f>SUM(B74)</f>
        <v>0</v>
      </c>
      <c r="C75" s="401">
        <f>180501.05+28368.41+39004.66+47323.94+37015.55+37925.26</f>
        <v>370138.87</v>
      </c>
      <c r="D75" s="401"/>
      <c r="E75" s="401"/>
      <c r="F75" s="401"/>
      <c r="G75" s="401"/>
      <c r="H75" s="401"/>
      <c r="I75" s="401"/>
      <c r="J75" s="401"/>
      <c r="K75" s="401"/>
      <c r="L75" s="401"/>
      <c r="M75" s="401">
        <f>22446.71+7889.64+8156.67+7987.06+5784.59+7083.77</f>
        <v>59348.44</v>
      </c>
      <c r="N75" s="401"/>
      <c r="O75" s="401"/>
      <c r="P75" s="401"/>
      <c r="Q75" s="401">
        <f>221820.63+52683.58+53347.43+57543.62+61376.19+55192.16</f>
        <v>501963.61</v>
      </c>
      <c r="R75" s="402">
        <f t="shared" si="15"/>
        <v>931450.91999999993</v>
      </c>
    </row>
    <row r="76" spans="1:19">
      <c r="A76" s="248">
        <v>5610200</v>
      </c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2">
        <f t="shared" si="15"/>
        <v>0</v>
      </c>
      <c r="S76" s="39" t="s">
        <v>328</v>
      </c>
    </row>
    <row r="77" spans="1:19">
      <c r="A77" s="225" t="s">
        <v>42</v>
      </c>
      <c r="B77" s="401">
        <v>0</v>
      </c>
      <c r="C77" s="401">
        <f>SUM(C76)</f>
        <v>0</v>
      </c>
      <c r="D77" s="401">
        <v>0</v>
      </c>
      <c r="E77" s="401">
        <v>0</v>
      </c>
      <c r="F77" s="401">
        <v>0</v>
      </c>
      <c r="G77" s="401">
        <f>SUM(G76)</f>
        <v>0</v>
      </c>
      <c r="H77" s="401">
        <v>0</v>
      </c>
      <c r="I77" s="401">
        <f>SUM(I76)</f>
        <v>0</v>
      </c>
      <c r="J77" s="401">
        <f>SUM(J76)</f>
        <v>0</v>
      </c>
      <c r="K77" s="401">
        <f>SUM(K76)</f>
        <v>0</v>
      </c>
      <c r="L77" s="401">
        <v>0</v>
      </c>
      <c r="M77" s="401">
        <f>SUM(M76)</f>
        <v>0</v>
      </c>
      <c r="N77" s="401">
        <v>0</v>
      </c>
      <c r="O77" s="401">
        <v>0</v>
      </c>
      <c r="P77" s="401">
        <v>0</v>
      </c>
      <c r="Q77" s="401">
        <v>0</v>
      </c>
      <c r="R77" s="402">
        <f t="shared" si="15"/>
        <v>0</v>
      </c>
    </row>
    <row r="78" spans="1:19">
      <c r="A78" s="225" t="s">
        <v>43</v>
      </c>
      <c r="B78" s="401">
        <f>SUM(B77)</f>
        <v>0</v>
      </c>
      <c r="C78" s="401">
        <f t="shared" ref="C78:Q78" si="16">SUM(C77)</f>
        <v>0</v>
      </c>
      <c r="D78" s="401">
        <f t="shared" si="16"/>
        <v>0</v>
      </c>
      <c r="E78" s="401">
        <f t="shared" si="16"/>
        <v>0</v>
      </c>
      <c r="F78" s="401">
        <f t="shared" si="16"/>
        <v>0</v>
      </c>
      <c r="G78" s="401">
        <v>280000</v>
      </c>
      <c r="H78" s="401">
        <f t="shared" si="16"/>
        <v>0</v>
      </c>
      <c r="I78" s="401">
        <v>70000</v>
      </c>
      <c r="J78" s="401"/>
      <c r="K78" s="401">
        <v>54469.7</v>
      </c>
      <c r="L78" s="401">
        <f t="shared" si="16"/>
        <v>0</v>
      </c>
      <c r="M78" s="401">
        <f>511000+507000</f>
        <v>1018000</v>
      </c>
      <c r="N78" s="401">
        <f t="shared" si="16"/>
        <v>0</v>
      </c>
      <c r="O78" s="401">
        <f t="shared" si="16"/>
        <v>0</v>
      </c>
      <c r="P78" s="401">
        <f t="shared" si="16"/>
        <v>0</v>
      </c>
      <c r="Q78" s="401">
        <f t="shared" si="16"/>
        <v>0</v>
      </c>
      <c r="R78" s="402">
        <f t="shared" si="15"/>
        <v>1422469.7</v>
      </c>
    </row>
    <row r="79" spans="1:19">
      <c r="A79" s="248">
        <v>5410100</v>
      </c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2">
        <f t="shared" si="15"/>
        <v>0</v>
      </c>
      <c r="S79" s="39" t="s">
        <v>207</v>
      </c>
    </row>
    <row r="80" spans="1:19">
      <c r="A80" s="248">
        <v>5410600</v>
      </c>
      <c r="B80" s="401"/>
      <c r="C80" s="401">
        <v>12000</v>
      </c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2">
        <f t="shared" si="15"/>
        <v>12000</v>
      </c>
      <c r="S80" s="39" t="s">
        <v>208</v>
      </c>
    </row>
    <row r="81" spans="1:19">
      <c r="A81" s="248">
        <v>5411500</v>
      </c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2">
        <f t="shared" si="15"/>
        <v>0</v>
      </c>
      <c r="S81" s="39" t="s">
        <v>391</v>
      </c>
    </row>
    <row r="82" spans="1:19">
      <c r="A82" s="316"/>
      <c r="B82" s="480"/>
      <c r="C82" s="480"/>
      <c r="D82" s="480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03"/>
    </row>
    <row r="83" spans="1:19">
      <c r="A83" s="481"/>
      <c r="B83" s="482"/>
      <c r="C83" s="482"/>
      <c r="D83" s="482"/>
      <c r="E83" s="482"/>
      <c r="F83" s="482"/>
      <c r="G83" s="482"/>
      <c r="H83" s="482"/>
      <c r="I83" s="482"/>
      <c r="J83" s="482"/>
      <c r="K83" s="482"/>
      <c r="L83" s="482"/>
      <c r="M83" s="482"/>
      <c r="N83" s="482"/>
      <c r="O83" s="482"/>
      <c r="P83" s="482"/>
      <c r="Q83" s="482"/>
      <c r="R83" s="483"/>
    </row>
    <row r="84" spans="1:19">
      <c r="A84" s="472" t="s">
        <v>39</v>
      </c>
      <c r="B84" s="473" t="s">
        <v>4</v>
      </c>
      <c r="C84" s="603" t="s">
        <v>104</v>
      </c>
      <c r="D84" s="603"/>
      <c r="E84" s="593" t="s">
        <v>107</v>
      </c>
      <c r="F84" s="594"/>
      <c r="G84" s="474" t="s">
        <v>109</v>
      </c>
      <c r="H84" s="475" t="s">
        <v>111</v>
      </c>
      <c r="I84" s="476" t="s">
        <v>113</v>
      </c>
      <c r="J84" s="604" t="s">
        <v>115</v>
      </c>
      <c r="K84" s="605"/>
      <c r="L84" s="606"/>
      <c r="M84" s="477" t="s">
        <v>117</v>
      </c>
      <c r="N84" s="607" t="s">
        <v>118</v>
      </c>
      <c r="O84" s="608"/>
      <c r="P84" s="478" t="s">
        <v>126</v>
      </c>
      <c r="Q84" s="479" t="s">
        <v>120</v>
      </c>
      <c r="R84" s="609" t="s">
        <v>41</v>
      </c>
    </row>
    <row r="85" spans="1:19">
      <c r="A85" s="318" t="s">
        <v>40</v>
      </c>
      <c r="B85" s="413" t="s">
        <v>4</v>
      </c>
      <c r="C85" s="414" t="s">
        <v>105</v>
      </c>
      <c r="D85" s="415" t="s">
        <v>106</v>
      </c>
      <c r="E85" s="127" t="s">
        <v>257</v>
      </c>
      <c r="F85" s="127" t="s">
        <v>258</v>
      </c>
      <c r="G85" s="387" t="s">
        <v>110</v>
      </c>
      <c r="H85" s="385" t="s">
        <v>112</v>
      </c>
      <c r="I85" s="390" t="s">
        <v>114</v>
      </c>
      <c r="J85" s="149" t="s">
        <v>105</v>
      </c>
      <c r="K85" s="400" t="s">
        <v>116</v>
      </c>
      <c r="L85" s="150" t="s">
        <v>134</v>
      </c>
      <c r="M85" s="347" t="s">
        <v>105</v>
      </c>
      <c r="N85" s="129" t="s">
        <v>119</v>
      </c>
      <c r="O85" s="169" t="s">
        <v>118</v>
      </c>
      <c r="P85" s="169" t="s">
        <v>127</v>
      </c>
      <c r="Q85" s="407" t="s">
        <v>121</v>
      </c>
      <c r="R85" s="602"/>
    </row>
    <row r="86" spans="1:19">
      <c r="A86" s="225" t="s">
        <v>42</v>
      </c>
      <c r="B86" s="401">
        <f>B79+B80+B81</f>
        <v>0</v>
      </c>
      <c r="C86" s="401">
        <f>C79+C80+C81</f>
        <v>12000</v>
      </c>
      <c r="D86" s="401">
        <f>D79+D80+D81</f>
        <v>0</v>
      </c>
      <c r="E86" s="401">
        <f>E79+E80+E81</f>
        <v>0</v>
      </c>
      <c r="F86" s="401">
        <f>F79+F80+F81</f>
        <v>0</v>
      </c>
      <c r="G86" s="401"/>
      <c r="H86" s="401">
        <f t="shared" ref="H86:R86" si="17">H79+H80+H81</f>
        <v>0</v>
      </c>
      <c r="I86" s="401">
        <f t="shared" si="17"/>
        <v>0</v>
      </c>
      <c r="J86" s="401">
        <f t="shared" si="17"/>
        <v>0</v>
      </c>
      <c r="K86" s="401">
        <f t="shared" si="17"/>
        <v>0</v>
      </c>
      <c r="L86" s="401">
        <f t="shared" si="17"/>
        <v>0</v>
      </c>
      <c r="M86" s="401">
        <f t="shared" si="17"/>
        <v>0</v>
      </c>
      <c r="N86" s="401">
        <f t="shared" si="17"/>
        <v>0</v>
      </c>
      <c r="O86" s="401">
        <f t="shared" si="17"/>
        <v>0</v>
      </c>
      <c r="P86" s="401">
        <f t="shared" si="17"/>
        <v>0</v>
      </c>
      <c r="Q86" s="401">
        <f t="shared" si="17"/>
        <v>0</v>
      </c>
      <c r="R86" s="401">
        <f t="shared" si="17"/>
        <v>12000</v>
      </c>
    </row>
    <row r="87" spans="1:19">
      <c r="A87" s="225" t="s">
        <v>43</v>
      </c>
      <c r="B87" s="401">
        <f>SUM(B86)</f>
        <v>0</v>
      </c>
      <c r="C87" s="401">
        <f>25500+39000+12000</f>
        <v>76500</v>
      </c>
      <c r="D87" s="401">
        <v>5000</v>
      </c>
      <c r="E87" s="401">
        <f t="shared" ref="E87:Q87" si="18">SUM(E86)</f>
        <v>0</v>
      </c>
      <c r="F87" s="401">
        <f t="shared" si="18"/>
        <v>0</v>
      </c>
      <c r="G87" s="401">
        <v>10000</v>
      </c>
      <c r="H87" s="401">
        <f t="shared" si="18"/>
        <v>0</v>
      </c>
      <c r="I87" s="401">
        <f t="shared" si="18"/>
        <v>0</v>
      </c>
      <c r="J87" s="401">
        <f>23900+61390</f>
        <v>85290</v>
      </c>
      <c r="K87" s="401">
        <f t="shared" si="18"/>
        <v>0</v>
      </c>
      <c r="L87" s="401">
        <f t="shared" si="18"/>
        <v>0</v>
      </c>
      <c r="M87" s="401">
        <v>112900</v>
      </c>
      <c r="N87" s="401">
        <f t="shared" si="18"/>
        <v>0</v>
      </c>
      <c r="O87" s="401">
        <f t="shared" si="18"/>
        <v>0</v>
      </c>
      <c r="P87" s="401">
        <f t="shared" si="18"/>
        <v>0</v>
      </c>
      <c r="Q87" s="401">
        <f t="shared" si="18"/>
        <v>0</v>
      </c>
      <c r="R87" s="402">
        <f>SUM(B87:Q87)</f>
        <v>289690</v>
      </c>
    </row>
    <row r="88" spans="1:19">
      <c r="A88" s="319">
        <v>5421000</v>
      </c>
      <c r="B88" s="408"/>
      <c r="C88" s="408"/>
      <c r="D88" s="408"/>
      <c r="E88" s="408"/>
      <c r="F88" s="408"/>
      <c r="G88" s="408"/>
      <c r="H88" s="408"/>
      <c r="I88" s="408"/>
      <c r="J88" s="408"/>
      <c r="K88" s="411"/>
      <c r="L88" s="408"/>
      <c r="M88" s="411"/>
      <c r="N88" s="408"/>
      <c r="O88" s="408"/>
      <c r="P88" s="408"/>
      <c r="Q88" s="411"/>
      <c r="R88" s="404">
        <f>SUM(B88:Q88)</f>
        <v>0</v>
      </c>
      <c r="S88" s="39" t="s">
        <v>246</v>
      </c>
    </row>
    <row r="89" spans="1:19">
      <c r="A89" s="225" t="s">
        <v>42</v>
      </c>
      <c r="B89" s="401">
        <f>SUM(B88)</f>
        <v>0</v>
      </c>
      <c r="C89" s="401">
        <f t="shared" ref="C89:Q90" si="19">SUM(C88)</f>
        <v>0</v>
      </c>
      <c r="D89" s="401">
        <f t="shared" si="19"/>
        <v>0</v>
      </c>
      <c r="E89" s="401">
        <f t="shared" si="19"/>
        <v>0</v>
      </c>
      <c r="F89" s="401">
        <f t="shared" si="19"/>
        <v>0</v>
      </c>
      <c r="G89" s="401">
        <f t="shared" si="19"/>
        <v>0</v>
      </c>
      <c r="H89" s="401">
        <f t="shared" si="19"/>
        <v>0</v>
      </c>
      <c r="I89" s="401">
        <f t="shared" si="19"/>
        <v>0</v>
      </c>
      <c r="J89" s="401">
        <f t="shared" si="19"/>
        <v>0</v>
      </c>
      <c r="K89" s="401">
        <f t="shared" si="19"/>
        <v>0</v>
      </c>
      <c r="L89" s="401">
        <f t="shared" si="19"/>
        <v>0</v>
      </c>
      <c r="M89" s="401">
        <f t="shared" si="19"/>
        <v>0</v>
      </c>
      <c r="N89" s="401">
        <f t="shared" si="19"/>
        <v>0</v>
      </c>
      <c r="O89" s="401">
        <f t="shared" si="19"/>
        <v>0</v>
      </c>
      <c r="P89" s="401">
        <f t="shared" si="19"/>
        <v>0</v>
      </c>
      <c r="Q89" s="401">
        <f t="shared" si="19"/>
        <v>0</v>
      </c>
      <c r="R89" s="402">
        <f>SUM(B89:Q89)</f>
        <v>0</v>
      </c>
    </row>
    <row r="90" spans="1:19">
      <c r="A90" s="225" t="s">
        <v>43</v>
      </c>
      <c r="B90" s="401">
        <f>SUM(B89)</f>
        <v>0</v>
      </c>
      <c r="C90" s="401">
        <f t="shared" si="19"/>
        <v>0</v>
      </c>
      <c r="D90" s="401">
        <f t="shared" si="19"/>
        <v>0</v>
      </c>
      <c r="E90" s="401">
        <f t="shared" si="19"/>
        <v>0</v>
      </c>
      <c r="F90" s="401">
        <f t="shared" si="19"/>
        <v>0</v>
      </c>
      <c r="G90" s="401">
        <f t="shared" si="19"/>
        <v>0</v>
      </c>
      <c r="H90" s="401">
        <f t="shared" si="19"/>
        <v>0</v>
      </c>
      <c r="I90" s="401">
        <f t="shared" si="19"/>
        <v>0</v>
      </c>
      <c r="J90" s="401">
        <f t="shared" si="19"/>
        <v>0</v>
      </c>
      <c r="K90" s="401">
        <f t="shared" si="19"/>
        <v>0</v>
      </c>
      <c r="L90" s="401">
        <f t="shared" si="19"/>
        <v>0</v>
      </c>
      <c r="M90" s="401">
        <f t="shared" si="19"/>
        <v>0</v>
      </c>
      <c r="N90" s="401">
        <f t="shared" si="19"/>
        <v>0</v>
      </c>
      <c r="O90" s="401">
        <f t="shared" si="19"/>
        <v>0</v>
      </c>
      <c r="P90" s="401">
        <f t="shared" si="19"/>
        <v>0</v>
      </c>
      <c r="Q90" s="401">
        <f t="shared" si="19"/>
        <v>0</v>
      </c>
      <c r="R90" s="402">
        <f>SUM(B90:Q90)</f>
        <v>0</v>
      </c>
    </row>
    <row r="91" spans="1:19">
      <c r="A91" s="225" t="s">
        <v>42</v>
      </c>
      <c r="B91" s="401">
        <f>B16+B26+B33+B37+B43+B49+B67+B74+B77+B86+B89</f>
        <v>28531</v>
      </c>
      <c r="C91" s="401">
        <f t="shared" ref="C91:R91" si="20">C16+C26+C33+C37+C43+C49+C67+C74+C77+C86+C89</f>
        <v>859476.86</v>
      </c>
      <c r="D91" s="401">
        <f t="shared" si="20"/>
        <v>206597</v>
      </c>
      <c r="E91" s="401">
        <f t="shared" si="20"/>
        <v>20543.900000000001</v>
      </c>
      <c r="F91" s="401">
        <f t="shared" si="20"/>
        <v>0</v>
      </c>
      <c r="G91" s="401">
        <f t="shared" si="20"/>
        <v>57419.6</v>
      </c>
      <c r="H91" s="401">
        <f t="shared" si="20"/>
        <v>0</v>
      </c>
      <c r="I91" s="401">
        <f t="shared" si="20"/>
        <v>18500</v>
      </c>
      <c r="J91" s="401">
        <f t="shared" si="20"/>
        <v>165335</v>
      </c>
      <c r="K91" s="401">
        <f t="shared" si="20"/>
        <v>111628.3</v>
      </c>
      <c r="L91" s="401">
        <f t="shared" si="20"/>
        <v>52576</v>
      </c>
      <c r="M91" s="401">
        <f t="shared" si="20"/>
        <v>393277.21</v>
      </c>
      <c r="N91" s="401">
        <f t="shared" si="20"/>
        <v>15000</v>
      </c>
      <c r="O91" s="401">
        <f t="shared" si="20"/>
        <v>0</v>
      </c>
      <c r="P91" s="401">
        <f t="shared" si="20"/>
        <v>0</v>
      </c>
      <c r="Q91" s="401">
        <f t="shared" si="20"/>
        <v>126882.16</v>
      </c>
      <c r="R91" s="401">
        <f t="shared" si="20"/>
        <v>2055767.03</v>
      </c>
      <c r="S91" s="239"/>
    </row>
    <row r="92" spans="1:19">
      <c r="A92" s="225" t="s">
        <v>43</v>
      </c>
      <c r="B92" s="401">
        <f>B17+B27+B34+B38+B44+B50+B68+B75+B78+B87+B90</f>
        <v>9275450</v>
      </c>
      <c r="C92" s="401">
        <f t="shared" ref="C92:R92" si="21">C17+C27+C34+C38+C44+C50+C68+C75+C78+C87+C90</f>
        <v>7170567.4000000004</v>
      </c>
      <c r="D92" s="401">
        <f t="shared" si="21"/>
        <v>1510870</v>
      </c>
      <c r="E92" s="401">
        <f t="shared" si="21"/>
        <v>123664.34</v>
      </c>
      <c r="F92" s="401">
        <f t="shared" si="21"/>
        <v>35391</v>
      </c>
      <c r="G92" s="401">
        <f t="shared" si="21"/>
        <v>816831.92</v>
      </c>
      <c r="H92" s="401">
        <f t="shared" si="21"/>
        <v>0</v>
      </c>
      <c r="I92" s="401">
        <f t="shared" si="21"/>
        <v>217384</v>
      </c>
      <c r="J92" s="401">
        <f t="shared" si="21"/>
        <v>1485598</v>
      </c>
      <c r="K92" s="401">
        <f t="shared" si="21"/>
        <v>1179539.29</v>
      </c>
      <c r="L92" s="401">
        <f t="shared" si="21"/>
        <v>513330.89</v>
      </c>
      <c r="M92" s="401">
        <f t="shared" si="21"/>
        <v>5691114.6800000006</v>
      </c>
      <c r="N92" s="401">
        <f t="shared" si="21"/>
        <v>352119</v>
      </c>
      <c r="O92" s="401">
        <f t="shared" si="21"/>
        <v>9510</v>
      </c>
      <c r="P92" s="401">
        <f t="shared" si="21"/>
        <v>0</v>
      </c>
      <c r="Q92" s="401">
        <f t="shared" si="21"/>
        <v>701748.61</v>
      </c>
      <c r="R92" s="401">
        <f t="shared" si="21"/>
        <v>29083119.129999999</v>
      </c>
      <c r="S92" s="239"/>
    </row>
    <row r="93" spans="1:19">
      <c r="A93" s="322"/>
      <c r="B93" s="361"/>
      <c r="C93" s="361"/>
      <c r="D93" s="361"/>
      <c r="E93" s="361"/>
      <c r="F93" s="361"/>
      <c r="G93" s="361"/>
      <c r="H93" s="361"/>
      <c r="I93" s="361"/>
      <c r="J93" s="361"/>
      <c r="K93" s="361"/>
      <c r="L93" s="361"/>
      <c r="M93" s="361"/>
      <c r="N93" s="361"/>
      <c r="O93" s="361"/>
      <c r="P93" s="361"/>
      <c r="Q93" s="361"/>
      <c r="R93" s="361"/>
    </row>
    <row r="94" spans="1:19">
      <c r="A94" s="322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486"/>
    </row>
    <row r="95" spans="1:19">
      <c r="A95" s="38"/>
      <c r="B95" s="38"/>
      <c r="C95" s="38"/>
      <c r="D95" s="38"/>
      <c r="E95" s="38"/>
      <c r="F95" s="38"/>
      <c r="G95" s="38"/>
      <c r="H95" s="38"/>
      <c r="J95" s="38"/>
      <c r="K95" s="38"/>
      <c r="L95" s="38"/>
      <c r="M95" s="38"/>
      <c r="N95" s="38"/>
      <c r="O95" s="38"/>
      <c r="P95" s="38"/>
      <c r="Q95" s="38"/>
      <c r="R95" s="382"/>
    </row>
    <row r="96" spans="1:19">
      <c r="A96" s="554" t="s">
        <v>52</v>
      </c>
      <c r="B96" s="554"/>
      <c r="C96" s="554"/>
      <c r="D96" s="554"/>
      <c r="E96" s="554"/>
      <c r="F96" s="392"/>
      <c r="G96" s="554" t="s">
        <v>122</v>
      </c>
      <c r="H96" s="554"/>
      <c r="I96" s="554"/>
      <c r="J96" s="554"/>
      <c r="K96" s="554"/>
      <c r="L96" s="554"/>
      <c r="M96" s="554"/>
      <c r="N96" s="554" t="s">
        <v>191</v>
      </c>
      <c r="O96" s="554"/>
      <c r="P96" s="554"/>
      <c r="Q96" s="554"/>
      <c r="R96" s="554"/>
    </row>
    <row r="97" spans="1:18">
      <c r="A97" s="554" t="s">
        <v>125</v>
      </c>
      <c r="B97" s="554"/>
      <c r="C97" s="554"/>
      <c r="D97" s="554"/>
      <c r="E97" s="554"/>
      <c r="F97" s="392"/>
      <c r="G97" s="554" t="s">
        <v>50</v>
      </c>
      <c r="H97" s="554"/>
      <c r="I97" s="554"/>
      <c r="J97" s="554"/>
      <c r="K97" s="554"/>
      <c r="L97" s="554"/>
      <c r="M97" s="554"/>
      <c r="N97" s="554" t="s">
        <v>51</v>
      </c>
      <c r="O97" s="554"/>
      <c r="P97" s="554"/>
      <c r="Q97" s="554"/>
      <c r="R97" s="554"/>
    </row>
    <row r="98" spans="1:18" ht="23.25">
      <c r="A98" s="597"/>
      <c r="B98" s="597"/>
      <c r="C98" s="597"/>
      <c r="D98" s="597"/>
      <c r="E98" s="597"/>
      <c r="F98" s="393"/>
      <c r="G98" s="154"/>
      <c r="H98" s="154"/>
      <c r="I98" s="154"/>
      <c r="J98" s="154"/>
      <c r="K98" s="154"/>
      <c r="L98" s="154"/>
      <c r="M98" s="154"/>
      <c r="N98" s="597"/>
      <c r="O98" s="597"/>
      <c r="P98" s="597"/>
      <c r="Q98" s="597"/>
      <c r="R98" s="597"/>
    </row>
    <row r="99" spans="1:18" ht="23.25">
      <c r="A99" s="596"/>
      <c r="B99" s="596"/>
      <c r="C99" s="596"/>
      <c r="D99" s="596"/>
      <c r="E99" s="596"/>
      <c r="F99" s="596"/>
      <c r="G99" s="596"/>
      <c r="H99" s="596"/>
      <c r="I99" s="596"/>
      <c r="J99" s="596"/>
      <c r="K99" s="596"/>
      <c r="L99" s="596"/>
      <c r="M99" s="596"/>
      <c r="N99" s="596"/>
      <c r="O99" s="596"/>
      <c r="P99" s="596"/>
      <c r="Q99" s="596"/>
      <c r="R99" s="596"/>
    </row>
    <row r="100" spans="1:18" ht="23.25">
      <c r="A100" s="596"/>
      <c r="B100" s="596"/>
      <c r="C100" s="596"/>
      <c r="D100" s="596"/>
      <c r="E100" s="596"/>
      <c r="F100" s="596"/>
      <c r="G100" s="596"/>
      <c r="H100" s="596"/>
      <c r="I100" s="596"/>
      <c r="J100" s="596"/>
      <c r="K100" s="596"/>
      <c r="L100" s="596"/>
      <c r="M100" s="596"/>
      <c r="N100" s="596"/>
      <c r="O100" s="596"/>
      <c r="P100" s="596"/>
      <c r="Q100" s="596"/>
      <c r="R100" s="596"/>
    </row>
    <row r="101" spans="1:18" ht="23.25">
      <c r="A101" s="596"/>
      <c r="B101" s="596"/>
      <c r="C101" s="596"/>
      <c r="D101" s="596"/>
      <c r="E101" s="596"/>
      <c r="F101" s="596"/>
      <c r="G101" s="596"/>
      <c r="H101" s="596"/>
      <c r="I101" s="596"/>
      <c r="J101" s="596"/>
      <c r="K101" s="596"/>
      <c r="L101" s="596"/>
      <c r="M101" s="596"/>
      <c r="N101" s="596"/>
      <c r="O101" s="596"/>
      <c r="P101" s="596"/>
      <c r="Q101" s="596"/>
      <c r="R101" s="596"/>
    </row>
    <row r="102" spans="1:18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>
      <c r="A103" s="60"/>
      <c r="B103" s="45"/>
      <c r="C103" s="595"/>
      <c r="D103" s="595"/>
      <c r="E103" s="598"/>
      <c r="F103" s="598"/>
      <c r="G103" s="598"/>
      <c r="H103" s="599"/>
      <c r="I103" s="599"/>
      <c r="J103" s="599"/>
      <c r="K103" s="155"/>
      <c r="L103" s="155"/>
      <c r="M103" s="156"/>
      <c r="N103" s="46"/>
      <c r="O103" s="47"/>
      <c r="P103" s="47"/>
      <c r="Q103" s="48"/>
      <c r="R103" s="600"/>
    </row>
    <row r="104" spans="1:18">
      <c r="A104" s="157"/>
      <c r="B104" s="49"/>
      <c r="C104" s="50"/>
      <c r="D104" s="51"/>
      <c r="E104" s="158"/>
      <c r="F104" s="158"/>
      <c r="G104" s="159"/>
      <c r="H104" s="160"/>
      <c r="I104" s="161"/>
      <c r="J104" s="162"/>
      <c r="K104" s="163"/>
      <c r="L104" s="163"/>
      <c r="M104" s="164"/>
      <c r="N104" s="52"/>
      <c r="O104" s="53"/>
      <c r="P104" s="53"/>
      <c r="Q104" s="54"/>
      <c r="R104" s="600"/>
    </row>
    <row r="105" spans="1:18">
      <c r="A105" s="165"/>
      <c r="B105" s="57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56"/>
    </row>
    <row r="106" spans="1:18">
      <c r="A106" s="153"/>
      <c r="B106" s="57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56"/>
    </row>
    <row r="107" spans="1:18">
      <c r="A107" s="153"/>
      <c r="B107" s="58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56"/>
    </row>
    <row r="108" spans="1:18">
      <c r="A108" s="153"/>
      <c r="B108" s="40"/>
      <c r="C108" s="41"/>
      <c r="D108" s="41"/>
      <c r="E108" s="41"/>
      <c r="F108" s="41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56"/>
    </row>
    <row r="109" spans="1:18">
      <c r="A109" s="153"/>
      <c r="B109" s="40"/>
      <c r="C109" s="41"/>
      <c r="D109" s="41"/>
      <c r="E109" s="41"/>
      <c r="F109" s="41"/>
      <c r="G109" s="40"/>
      <c r="H109" s="41"/>
      <c r="I109" s="56"/>
      <c r="J109" s="40"/>
      <c r="K109" s="40"/>
      <c r="L109" s="40"/>
      <c r="M109" s="40"/>
      <c r="N109" s="40"/>
      <c r="O109" s="40"/>
      <c r="P109" s="40"/>
      <c r="Q109" s="40"/>
      <c r="R109" s="56"/>
    </row>
    <row r="110" spans="1:18">
      <c r="A110" s="153"/>
      <c r="B110" s="40"/>
      <c r="C110" s="41"/>
      <c r="D110" s="41"/>
      <c r="E110" s="41"/>
      <c r="F110" s="41"/>
      <c r="G110" s="40"/>
      <c r="H110" s="40"/>
      <c r="I110" s="56"/>
      <c r="J110" s="40"/>
      <c r="K110" s="40"/>
      <c r="L110" s="40"/>
      <c r="M110" s="40"/>
      <c r="N110" s="40"/>
      <c r="O110" s="40"/>
      <c r="P110" s="40"/>
      <c r="Q110" s="40"/>
      <c r="R110" s="56"/>
    </row>
    <row r="111" spans="1:18">
      <c r="A111" s="153"/>
      <c r="B111" s="40"/>
      <c r="C111" s="41"/>
      <c r="D111" s="40"/>
      <c r="E111" s="40"/>
      <c r="F111" s="40"/>
      <c r="G111" s="40"/>
      <c r="H111" s="40"/>
      <c r="I111" s="56"/>
      <c r="J111" s="40"/>
      <c r="K111" s="40"/>
      <c r="L111" s="40"/>
      <c r="M111" s="40"/>
      <c r="N111" s="40"/>
      <c r="O111" s="40"/>
      <c r="P111" s="40"/>
      <c r="Q111" s="40"/>
      <c r="R111" s="56"/>
    </row>
    <row r="112" spans="1:18">
      <c r="A112" s="153"/>
      <c r="B112" s="40"/>
      <c r="C112" s="41"/>
      <c r="D112" s="41"/>
      <c r="E112" s="41"/>
      <c r="F112" s="41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56"/>
    </row>
    <row r="113" spans="1:18">
      <c r="A113" s="153"/>
      <c r="B113" s="40"/>
      <c r="C113" s="41"/>
      <c r="D113" s="41"/>
      <c r="E113" s="41"/>
      <c r="F113" s="41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56"/>
    </row>
    <row r="114" spans="1:18">
      <c r="A114" s="153"/>
      <c r="B114" s="40"/>
      <c r="C114" s="41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56"/>
    </row>
    <row r="115" spans="1:18">
      <c r="A115" s="153"/>
      <c r="B115" s="40"/>
      <c r="C115" s="41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56"/>
    </row>
    <row r="116" spans="1:18">
      <c r="A116" s="153"/>
      <c r="B116" s="40"/>
      <c r="C116" s="41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56"/>
    </row>
    <row r="117" spans="1:18">
      <c r="A117" s="153"/>
      <c r="B117" s="40"/>
      <c r="C117" s="41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56"/>
    </row>
    <row r="118" spans="1:18">
      <c r="A118" s="153"/>
      <c r="B118" s="40"/>
      <c r="C118" s="41"/>
      <c r="D118" s="41"/>
      <c r="E118" s="41"/>
      <c r="F118" s="41"/>
      <c r="G118" s="40"/>
      <c r="H118" s="41"/>
      <c r="I118" s="40"/>
      <c r="J118" s="40"/>
      <c r="K118" s="40"/>
      <c r="L118" s="40"/>
      <c r="M118" s="40"/>
      <c r="N118" s="40"/>
      <c r="O118" s="40"/>
      <c r="P118" s="40"/>
      <c r="Q118" s="40"/>
      <c r="R118" s="56"/>
    </row>
    <row r="119" spans="1:18">
      <c r="A119" s="153"/>
      <c r="B119" s="40"/>
      <c r="C119" s="41"/>
      <c r="D119" s="41"/>
      <c r="E119" s="41"/>
      <c r="F119" s="41"/>
      <c r="G119" s="40"/>
      <c r="H119" s="41"/>
      <c r="I119" s="40"/>
      <c r="J119" s="40"/>
      <c r="K119" s="40"/>
      <c r="L119" s="40"/>
      <c r="M119" s="40"/>
      <c r="N119" s="40"/>
      <c r="O119" s="40"/>
      <c r="P119" s="40"/>
      <c r="Q119" s="40"/>
      <c r="R119" s="56"/>
    </row>
    <row r="120" spans="1:18">
      <c r="A120" s="153"/>
      <c r="B120" s="40"/>
      <c r="C120" s="41"/>
      <c r="D120" s="41"/>
      <c r="E120" s="41"/>
      <c r="F120" s="41"/>
      <c r="G120" s="40"/>
      <c r="H120" s="41"/>
      <c r="I120" s="40"/>
      <c r="J120" s="40"/>
      <c r="K120" s="40"/>
      <c r="L120" s="40"/>
      <c r="M120" s="40"/>
      <c r="N120" s="40"/>
      <c r="O120" s="40"/>
      <c r="P120" s="40"/>
      <c r="Q120" s="40"/>
      <c r="R120" s="56"/>
    </row>
    <row r="121" spans="1:18">
      <c r="A121" s="153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</row>
    <row r="122" spans="1:18">
      <c r="A122" s="153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</row>
    <row r="123" spans="1:18">
      <c r="A123" s="153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</row>
    <row r="124" spans="1:18">
      <c r="A124" s="153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</row>
    <row r="125" spans="1:18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>
      <c r="A126" s="157"/>
      <c r="B126" s="49"/>
      <c r="C126" s="50"/>
      <c r="D126" s="51"/>
      <c r="E126" s="158"/>
      <c r="F126" s="158"/>
      <c r="G126" s="159"/>
      <c r="H126" s="160"/>
      <c r="I126" s="161"/>
      <c r="J126" s="162"/>
      <c r="K126" s="163"/>
      <c r="L126" s="163"/>
      <c r="M126" s="164"/>
      <c r="N126" s="52"/>
      <c r="O126" s="53"/>
      <c r="P126" s="53"/>
      <c r="Q126" s="54"/>
      <c r="R126" s="600"/>
    </row>
    <row r="127" spans="1:18">
      <c r="A127" s="153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600"/>
    </row>
    <row r="128" spans="1:18">
      <c r="A128" s="153"/>
      <c r="B128" s="40"/>
      <c r="C128" s="41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56"/>
    </row>
    <row r="129" spans="1:18">
      <c r="A129" s="153"/>
      <c r="B129" s="40"/>
      <c r="C129" s="41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56"/>
    </row>
    <row r="130" spans="1:18">
      <c r="A130" s="153"/>
      <c r="B130" s="40"/>
      <c r="C130" s="41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56"/>
    </row>
    <row r="131" spans="1:18">
      <c r="A131" s="153"/>
      <c r="B131" s="40"/>
      <c r="C131" s="41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56"/>
    </row>
    <row r="132" spans="1:18">
      <c r="A132" s="153"/>
      <c r="B132" s="40"/>
      <c r="C132" s="41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56"/>
    </row>
    <row r="133" spans="1:18">
      <c r="A133" s="153"/>
      <c r="B133" s="40"/>
      <c r="C133" s="41"/>
      <c r="D133" s="41"/>
      <c r="E133" s="41"/>
      <c r="F133" s="41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56"/>
    </row>
    <row r="134" spans="1:18">
      <c r="A134" s="153"/>
      <c r="B134" s="40"/>
      <c r="C134" s="41"/>
      <c r="D134" s="41"/>
      <c r="E134" s="41"/>
      <c r="F134" s="41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56"/>
    </row>
    <row r="135" spans="1:18">
      <c r="A135" s="153"/>
      <c r="B135" s="40"/>
      <c r="C135" s="41"/>
      <c r="D135" s="41"/>
      <c r="E135" s="41"/>
      <c r="F135" s="41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56"/>
    </row>
    <row r="136" spans="1:18">
      <c r="A136" s="153"/>
      <c r="B136" s="40"/>
      <c r="C136" s="57"/>
      <c r="D136" s="41"/>
      <c r="E136" s="41"/>
      <c r="F136" s="41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56"/>
    </row>
    <row r="137" spans="1:18">
      <c r="A137" s="153"/>
      <c r="B137" s="40"/>
      <c r="C137" s="41"/>
      <c r="D137" s="56"/>
      <c r="E137" s="56"/>
      <c r="F137" s="56"/>
      <c r="G137" s="41"/>
      <c r="H137" s="41"/>
      <c r="I137" s="56"/>
      <c r="J137" s="56"/>
      <c r="K137" s="56"/>
      <c r="L137" s="56"/>
      <c r="M137" s="56"/>
      <c r="N137" s="41"/>
      <c r="O137" s="56"/>
      <c r="P137" s="56"/>
      <c r="Q137" s="56"/>
      <c r="R137" s="56"/>
    </row>
    <row r="138" spans="1:18">
      <c r="A138" s="153"/>
      <c r="B138" s="40"/>
      <c r="C138" s="56"/>
      <c r="D138" s="41"/>
      <c r="E138" s="56"/>
      <c r="F138" s="56"/>
      <c r="G138" s="41"/>
      <c r="H138" s="56"/>
      <c r="I138" s="56"/>
      <c r="J138" s="56"/>
      <c r="K138" s="56"/>
      <c r="L138" s="56"/>
      <c r="M138" s="56"/>
      <c r="N138" s="41"/>
      <c r="O138" s="56"/>
      <c r="P138" s="56"/>
      <c r="Q138" s="56"/>
      <c r="R138" s="56"/>
    </row>
    <row r="139" spans="1:18">
      <c r="A139" s="153"/>
      <c r="B139" s="40"/>
      <c r="C139" s="41"/>
      <c r="D139" s="41"/>
      <c r="E139" s="56"/>
      <c r="F139" s="56"/>
      <c r="G139" s="41"/>
      <c r="H139" s="41"/>
      <c r="I139" s="56"/>
      <c r="J139" s="56"/>
      <c r="K139" s="56"/>
      <c r="L139" s="56"/>
      <c r="M139" s="56"/>
      <c r="N139" s="41"/>
      <c r="O139" s="41"/>
      <c r="P139" s="41"/>
      <c r="Q139" s="56"/>
      <c r="R139" s="56"/>
    </row>
    <row r="140" spans="1:18">
      <c r="A140" s="153"/>
      <c r="B140" s="40"/>
      <c r="C140" s="41"/>
      <c r="D140" s="41"/>
      <c r="E140" s="41"/>
      <c r="F140" s="41"/>
      <c r="G140" s="41"/>
      <c r="H140" s="41"/>
      <c r="I140" s="56"/>
      <c r="J140" s="56"/>
      <c r="K140" s="56"/>
      <c r="L140" s="56"/>
      <c r="M140" s="41"/>
      <c r="N140" s="41"/>
      <c r="O140" s="56"/>
      <c r="P140" s="56"/>
      <c r="Q140" s="56"/>
      <c r="R140" s="56"/>
    </row>
    <row r="141" spans="1:18">
      <c r="A141" s="153"/>
      <c r="B141" s="40"/>
      <c r="C141" s="41"/>
      <c r="D141" s="41"/>
      <c r="E141" s="41"/>
      <c r="F141" s="41"/>
      <c r="G141" s="41"/>
      <c r="H141" s="41"/>
      <c r="I141" s="56"/>
      <c r="J141" s="56"/>
      <c r="K141" s="56"/>
      <c r="L141" s="56"/>
      <c r="M141" s="41"/>
      <c r="N141" s="41"/>
      <c r="O141" s="56"/>
      <c r="P141" s="56"/>
      <c r="Q141" s="56"/>
      <c r="R141" s="56"/>
    </row>
    <row r="142" spans="1:18">
      <c r="A142" s="153"/>
      <c r="B142" s="40"/>
      <c r="C142" s="58"/>
      <c r="D142" s="41"/>
      <c r="E142" s="41"/>
      <c r="F142" s="41"/>
      <c r="G142" s="41"/>
      <c r="H142" s="41"/>
      <c r="I142" s="40"/>
      <c r="J142" s="40"/>
      <c r="K142" s="40"/>
      <c r="L142" s="40"/>
      <c r="M142" s="41"/>
      <c r="N142" s="41"/>
      <c r="O142" s="41"/>
      <c r="P142" s="41"/>
      <c r="Q142" s="41"/>
      <c r="R142" s="56"/>
    </row>
    <row r="143" spans="1:18">
      <c r="A143" s="153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</row>
    <row r="144" spans="1:18">
      <c r="A144" s="153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40"/>
    </row>
    <row r="145" spans="1:18">
      <c r="A145" s="153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40"/>
    </row>
    <row r="146" spans="1:18">
      <c r="A146" s="153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40"/>
    </row>
    <row r="147" spans="1:18">
      <c r="A147" s="153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40"/>
    </row>
    <row r="148" spans="1:18">
      <c r="A148" s="153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40"/>
    </row>
    <row r="149" spans="1:18">
      <c r="A149" s="153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</row>
    <row r="150" spans="1:18">
      <c r="A150" s="153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</row>
    <row r="151" spans="1:18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>
      <c r="A152" s="60"/>
      <c r="B152" s="45"/>
      <c r="C152" s="595"/>
      <c r="D152" s="595"/>
      <c r="E152" s="598"/>
      <c r="F152" s="598"/>
      <c r="G152" s="598"/>
      <c r="H152" s="599"/>
      <c r="I152" s="599"/>
      <c r="J152" s="599"/>
      <c r="K152" s="155"/>
      <c r="L152" s="155"/>
      <c r="M152" s="156"/>
      <c r="N152" s="46"/>
      <c r="O152" s="47"/>
      <c r="P152" s="47"/>
      <c r="Q152" s="48"/>
      <c r="R152" s="600"/>
    </row>
    <row r="153" spans="1:18">
      <c r="A153" s="157"/>
      <c r="B153" s="49"/>
      <c r="C153" s="50"/>
      <c r="D153" s="51"/>
      <c r="E153" s="158"/>
      <c r="F153" s="158"/>
      <c r="G153" s="159"/>
      <c r="H153" s="160"/>
      <c r="I153" s="161"/>
      <c r="J153" s="162"/>
      <c r="K153" s="171"/>
      <c r="L153" s="171"/>
      <c r="M153" s="164"/>
      <c r="N153" s="52"/>
      <c r="O153" s="53"/>
      <c r="P153" s="53"/>
      <c r="Q153" s="54"/>
      <c r="R153" s="600"/>
    </row>
    <row r="154" spans="1:18">
      <c r="A154" s="153"/>
      <c r="B154" s="61"/>
      <c r="C154" s="61"/>
      <c r="D154" s="61"/>
      <c r="E154" s="61"/>
      <c r="F154" s="61"/>
      <c r="G154" s="61"/>
      <c r="H154" s="172"/>
      <c r="I154" s="61"/>
      <c r="J154" s="61"/>
      <c r="K154" s="61"/>
      <c r="L154" s="61"/>
      <c r="M154" s="61"/>
      <c r="N154" s="61"/>
      <c r="O154" s="61"/>
      <c r="P154" s="61"/>
      <c r="Q154" s="61"/>
      <c r="R154" s="62"/>
    </row>
    <row r="155" spans="1:18">
      <c r="A155" s="153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3"/>
    </row>
    <row r="156" spans="1:18">
      <c r="A156" s="153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3"/>
    </row>
    <row r="157" spans="1:18">
      <c r="A157" s="153"/>
      <c r="B157" s="61"/>
      <c r="C157" s="61"/>
      <c r="D157" s="61"/>
      <c r="E157" s="61"/>
      <c r="F157" s="61"/>
      <c r="G157" s="61"/>
      <c r="H157" s="172"/>
      <c r="I157" s="61"/>
      <c r="J157" s="61"/>
      <c r="K157" s="61"/>
      <c r="L157" s="61"/>
      <c r="M157" s="61"/>
      <c r="N157" s="61"/>
      <c r="O157" s="61"/>
      <c r="P157" s="61"/>
      <c r="Q157" s="61"/>
      <c r="R157" s="63"/>
    </row>
    <row r="158" spans="1:18">
      <c r="A158" s="153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3"/>
    </row>
    <row r="159" spans="1:18">
      <c r="A159" s="153"/>
      <c r="B159" s="41"/>
      <c r="C159" s="56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56"/>
    </row>
    <row r="160" spans="1:18">
      <c r="A160" s="153"/>
      <c r="B160" s="41"/>
      <c r="C160" s="56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56"/>
    </row>
    <row r="161" spans="1:18">
      <c r="A161" s="153"/>
      <c r="B161" s="41"/>
      <c r="C161" s="56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56"/>
    </row>
    <row r="162" spans="1:18">
      <c r="A162" s="153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56"/>
    </row>
    <row r="163" spans="1:18">
      <c r="A163" s="153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56"/>
    </row>
    <row r="164" spans="1:18">
      <c r="A164" s="153"/>
      <c r="B164" s="40"/>
      <c r="C164" s="56"/>
      <c r="D164" s="57"/>
      <c r="E164" s="41"/>
      <c r="F164" s="41"/>
      <c r="G164" s="41"/>
      <c r="H164" s="56"/>
      <c r="I164" s="40"/>
      <c r="J164" s="40"/>
      <c r="K164" s="40"/>
      <c r="L164" s="40"/>
      <c r="M164" s="40"/>
      <c r="N164" s="41"/>
      <c r="O164" s="41"/>
      <c r="P164" s="41"/>
      <c r="Q164" s="40"/>
      <c r="R164" s="56"/>
    </row>
    <row r="165" spans="1:18">
      <c r="A165" s="153"/>
      <c r="B165" s="40"/>
      <c r="C165" s="40"/>
      <c r="D165" s="57"/>
      <c r="E165" s="56"/>
      <c r="F165" s="56"/>
      <c r="G165" s="56"/>
      <c r="H165" s="56"/>
      <c r="I165" s="40"/>
      <c r="J165" s="40"/>
      <c r="K165" s="40"/>
      <c r="L165" s="40"/>
      <c r="M165" s="40"/>
      <c r="N165" s="41"/>
      <c r="O165" s="41"/>
      <c r="P165" s="41"/>
      <c r="Q165" s="40"/>
      <c r="R165" s="56"/>
    </row>
    <row r="166" spans="1:18">
      <c r="A166" s="153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56"/>
    </row>
    <row r="167" spans="1:18">
      <c r="A167" s="153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56"/>
    </row>
    <row r="168" spans="1:18">
      <c r="A168" s="153"/>
      <c r="B168" s="40"/>
      <c r="C168" s="41"/>
      <c r="D168" s="41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56"/>
    </row>
    <row r="169" spans="1:18">
      <c r="A169" s="153"/>
      <c r="B169" s="40"/>
      <c r="C169" s="56"/>
      <c r="D169" s="41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56"/>
    </row>
    <row r="170" spans="1:18">
      <c r="A170" s="153"/>
      <c r="B170" s="40"/>
      <c r="C170" s="40"/>
      <c r="D170" s="41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56"/>
    </row>
    <row r="171" spans="1:18">
      <c r="A171" s="153"/>
      <c r="B171" s="40"/>
      <c r="C171" s="40"/>
      <c r="D171" s="41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56"/>
    </row>
    <row r="172" spans="1:18">
      <c r="A172" s="153"/>
      <c r="B172" s="40"/>
      <c r="C172" s="41"/>
      <c r="D172" s="40"/>
      <c r="E172" s="40"/>
      <c r="F172" s="40"/>
      <c r="G172" s="40"/>
      <c r="H172" s="41"/>
      <c r="I172" s="41"/>
      <c r="J172" s="40"/>
      <c r="K172" s="40"/>
      <c r="L172" s="40"/>
      <c r="M172" s="57"/>
      <c r="N172" s="40"/>
      <c r="O172" s="40"/>
      <c r="P172" s="40"/>
      <c r="Q172" s="40"/>
      <c r="R172" s="56"/>
    </row>
    <row r="173" spans="1:18">
      <c r="A173" s="153"/>
      <c r="B173" s="40"/>
      <c r="C173" s="41"/>
      <c r="D173" s="40"/>
      <c r="E173" s="40"/>
      <c r="F173" s="40"/>
      <c r="G173" s="40"/>
      <c r="H173" s="41"/>
      <c r="I173" s="41"/>
      <c r="J173" s="40"/>
      <c r="K173" s="40"/>
      <c r="L173" s="40"/>
      <c r="M173" s="57"/>
      <c r="N173" s="40"/>
      <c r="O173" s="40"/>
      <c r="P173" s="40"/>
      <c r="Q173" s="40"/>
      <c r="R173" s="56"/>
    </row>
    <row r="174" spans="1:18">
      <c r="A174" s="153"/>
      <c r="B174" s="40"/>
      <c r="C174" s="41"/>
      <c r="D174" s="40"/>
      <c r="E174" s="40"/>
      <c r="F174" s="40"/>
      <c r="G174" s="40"/>
      <c r="H174" s="41"/>
      <c r="I174" s="41"/>
      <c r="J174" s="40"/>
      <c r="K174" s="40"/>
      <c r="L174" s="40"/>
      <c r="M174" s="57"/>
      <c r="N174" s="40"/>
      <c r="O174" s="40"/>
      <c r="P174" s="40"/>
      <c r="Q174" s="40"/>
      <c r="R174" s="56"/>
    </row>
    <row r="175" spans="1:18">
      <c r="A175" s="153"/>
      <c r="B175" s="40"/>
      <c r="C175" s="41"/>
      <c r="D175" s="41"/>
      <c r="E175" s="41"/>
      <c r="F175" s="41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56"/>
    </row>
    <row r="176" spans="1:18">
      <c r="A176" s="153"/>
      <c r="B176" s="40"/>
      <c r="C176" s="41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56"/>
    </row>
    <row r="177" spans="1:18">
      <c r="A177" s="153"/>
      <c r="B177" s="40"/>
      <c r="C177" s="41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1"/>
    </row>
    <row r="178" spans="1:18">
      <c r="A178" s="153"/>
      <c r="B178" s="40"/>
      <c r="C178" s="41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1"/>
    </row>
    <row r="179" spans="1:18">
      <c r="A179" s="60"/>
      <c r="B179" s="45"/>
      <c r="C179" s="595"/>
      <c r="D179" s="595"/>
      <c r="E179" s="598"/>
      <c r="F179" s="598"/>
      <c r="G179" s="598"/>
      <c r="H179" s="599"/>
      <c r="I179" s="599"/>
      <c r="J179" s="599"/>
      <c r="K179" s="155"/>
      <c r="L179" s="155"/>
      <c r="M179" s="156"/>
      <c r="N179" s="46"/>
      <c r="O179" s="47"/>
      <c r="P179" s="47"/>
      <c r="Q179" s="48"/>
      <c r="R179" s="600"/>
    </row>
    <row r="180" spans="1:18">
      <c r="A180" s="157"/>
      <c r="B180" s="49"/>
      <c r="C180" s="50"/>
      <c r="D180" s="51"/>
      <c r="E180" s="158"/>
      <c r="F180" s="158"/>
      <c r="G180" s="159"/>
      <c r="H180" s="160"/>
      <c r="I180" s="161"/>
      <c r="J180" s="162"/>
      <c r="K180" s="171"/>
      <c r="L180" s="171"/>
      <c r="M180" s="164"/>
      <c r="N180" s="52"/>
      <c r="O180" s="53"/>
      <c r="P180" s="53"/>
      <c r="Q180" s="54"/>
      <c r="R180" s="600"/>
    </row>
    <row r="181" spans="1:18">
      <c r="A181" s="153"/>
      <c r="B181" s="40"/>
      <c r="C181" s="41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56"/>
    </row>
    <row r="182" spans="1:18">
      <c r="A182" s="153"/>
      <c r="B182" s="40"/>
      <c r="C182" s="41"/>
      <c r="D182" s="40"/>
      <c r="E182" s="41"/>
      <c r="F182" s="41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56"/>
    </row>
    <row r="183" spans="1:18">
      <c r="A183" s="153"/>
      <c r="B183" s="40"/>
      <c r="C183" s="41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56"/>
    </row>
    <row r="184" spans="1:18">
      <c r="A184" s="153"/>
      <c r="B184" s="40"/>
      <c r="C184" s="41"/>
      <c r="D184" s="41"/>
      <c r="E184" s="41"/>
      <c r="F184" s="41"/>
      <c r="G184" s="40"/>
      <c r="H184" s="41"/>
      <c r="I184" s="40"/>
      <c r="J184" s="40"/>
      <c r="K184" s="40"/>
      <c r="L184" s="40"/>
      <c r="M184" s="40"/>
      <c r="N184" s="40"/>
      <c r="O184" s="40"/>
      <c r="P184" s="40"/>
      <c r="Q184" s="40"/>
      <c r="R184" s="56"/>
    </row>
    <row r="185" spans="1:18">
      <c r="A185" s="153"/>
      <c r="B185" s="40"/>
      <c r="C185" s="41"/>
      <c r="D185" s="41"/>
      <c r="E185" s="41"/>
      <c r="F185" s="41"/>
      <c r="G185" s="40"/>
      <c r="H185" s="41"/>
      <c r="I185" s="40"/>
      <c r="J185" s="40"/>
      <c r="K185" s="40"/>
      <c r="L185" s="40"/>
      <c r="M185" s="40"/>
      <c r="N185" s="40"/>
      <c r="O185" s="40"/>
      <c r="P185" s="40"/>
      <c r="Q185" s="40"/>
      <c r="R185" s="56"/>
    </row>
    <row r="186" spans="1:18">
      <c r="A186" s="153"/>
      <c r="B186" s="40"/>
      <c r="C186" s="41"/>
      <c r="D186" s="41"/>
      <c r="E186" s="41"/>
      <c r="F186" s="41"/>
      <c r="G186" s="40"/>
      <c r="H186" s="41"/>
      <c r="I186" s="40"/>
      <c r="J186" s="40"/>
      <c r="K186" s="40"/>
      <c r="L186" s="40"/>
      <c r="M186" s="40"/>
      <c r="N186" s="40"/>
      <c r="O186" s="40"/>
      <c r="P186" s="40"/>
      <c r="Q186" s="40"/>
      <c r="R186" s="56"/>
    </row>
    <row r="187" spans="1:18">
      <c r="A187" s="153"/>
      <c r="B187" s="64"/>
      <c r="C187" s="65"/>
      <c r="D187" s="66"/>
      <c r="E187" s="67"/>
      <c r="F187" s="67"/>
      <c r="G187" s="61"/>
      <c r="H187" s="68"/>
      <c r="I187" s="69"/>
      <c r="J187" s="70"/>
      <c r="K187" s="71"/>
      <c r="L187" s="71"/>
      <c r="M187" s="72"/>
      <c r="N187" s="61"/>
      <c r="O187" s="73"/>
      <c r="P187" s="73"/>
      <c r="Q187" s="74"/>
      <c r="R187" s="63"/>
    </row>
    <row r="188" spans="1:18">
      <c r="A188" s="153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56"/>
    </row>
    <row r="189" spans="1:18">
      <c r="A189" s="153"/>
      <c r="B189" s="40"/>
      <c r="C189" s="40"/>
      <c r="D189" s="40"/>
      <c r="E189" s="41"/>
      <c r="F189" s="41"/>
      <c r="G189" s="41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56"/>
    </row>
    <row r="190" spans="1:18">
      <c r="A190" s="153"/>
      <c r="B190" s="40"/>
      <c r="C190" s="41"/>
      <c r="D190" s="40"/>
      <c r="E190" s="41"/>
      <c r="F190" s="41"/>
      <c r="G190" s="41"/>
      <c r="H190" s="41"/>
      <c r="I190" s="40"/>
      <c r="J190" s="40"/>
      <c r="K190" s="40"/>
      <c r="L190" s="40"/>
      <c r="M190" s="40"/>
      <c r="N190" s="41"/>
      <c r="O190" s="40"/>
      <c r="P190" s="40"/>
      <c r="Q190" s="40"/>
      <c r="R190" s="56"/>
    </row>
    <row r="191" spans="1:18">
      <c r="A191" s="153"/>
      <c r="B191" s="40"/>
      <c r="C191" s="41"/>
      <c r="D191" s="40"/>
      <c r="E191" s="41"/>
      <c r="F191" s="41"/>
      <c r="G191" s="41"/>
      <c r="H191" s="41"/>
      <c r="I191" s="40"/>
      <c r="J191" s="40"/>
      <c r="K191" s="40"/>
      <c r="L191" s="40"/>
      <c r="M191" s="40"/>
      <c r="N191" s="41"/>
      <c r="O191" s="40"/>
      <c r="P191" s="40"/>
      <c r="Q191" s="40"/>
      <c r="R191" s="56"/>
    </row>
    <row r="192" spans="1:18">
      <c r="A192" s="153"/>
      <c r="B192" s="40"/>
      <c r="C192" s="41"/>
      <c r="D192" s="40"/>
      <c r="E192" s="40"/>
      <c r="F192" s="40"/>
      <c r="G192" s="40"/>
      <c r="H192" s="40"/>
      <c r="I192" s="40"/>
      <c r="J192" s="40"/>
      <c r="K192" s="41"/>
      <c r="L192" s="41"/>
      <c r="M192" s="40"/>
      <c r="N192" s="40"/>
      <c r="O192" s="40"/>
      <c r="P192" s="40"/>
      <c r="Q192" s="40"/>
      <c r="R192" s="56"/>
    </row>
    <row r="193" spans="1:18">
      <c r="A193" s="153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56"/>
    </row>
    <row r="194" spans="1:18">
      <c r="A194" s="153"/>
      <c r="B194" s="40"/>
      <c r="C194" s="40"/>
      <c r="D194" s="40"/>
      <c r="E194" s="40"/>
      <c r="F194" s="40"/>
      <c r="G194" s="40"/>
      <c r="H194" s="40"/>
      <c r="I194" s="40"/>
      <c r="J194" s="40"/>
      <c r="K194" s="41"/>
      <c r="L194" s="41"/>
      <c r="M194" s="40"/>
      <c r="N194" s="40"/>
      <c r="O194" s="40"/>
      <c r="P194" s="40"/>
      <c r="Q194" s="40"/>
      <c r="R194" s="56"/>
    </row>
    <row r="195" spans="1:18">
      <c r="A195" s="153"/>
      <c r="B195" s="41"/>
      <c r="C195" s="56"/>
      <c r="D195" s="41"/>
      <c r="E195" s="41"/>
      <c r="F195" s="41"/>
      <c r="G195" s="56"/>
      <c r="H195" s="56"/>
      <c r="I195" s="324"/>
      <c r="J195" s="324"/>
      <c r="K195" s="41"/>
      <c r="L195" s="41"/>
      <c r="M195" s="41"/>
      <c r="N195" s="56"/>
      <c r="O195" s="41"/>
      <c r="P195" s="41"/>
      <c r="Q195" s="41"/>
      <c r="R195" s="56"/>
    </row>
    <row r="196" spans="1:18">
      <c r="A196" s="153"/>
      <c r="B196" s="41"/>
      <c r="C196" s="40"/>
      <c r="D196" s="41"/>
      <c r="E196" s="41"/>
      <c r="F196" s="41"/>
      <c r="G196" s="40"/>
      <c r="H196" s="41"/>
      <c r="I196" s="40"/>
      <c r="J196" s="40"/>
      <c r="K196" s="41"/>
      <c r="L196" s="41"/>
      <c r="M196" s="41"/>
      <c r="N196" s="56"/>
      <c r="O196" s="41"/>
      <c r="P196" s="41"/>
      <c r="Q196" s="41"/>
      <c r="R196" s="56"/>
    </row>
    <row r="197" spans="1:18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</row>
    <row r="198" spans="1:18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</row>
    <row r="199" spans="1:18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</row>
    <row r="200" spans="1:18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</row>
    <row r="201" spans="1:18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</row>
    <row r="202" spans="1:18" ht="23.25">
      <c r="A202" s="610"/>
      <c r="B202" s="610"/>
      <c r="C202" s="610"/>
      <c r="D202" s="610"/>
      <c r="E202" s="610"/>
      <c r="F202" s="182"/>
      <c r="G202" s="610"/>
      <c r="H202" s="610"/>
      <c r="I202" s="610"/>
      <c r="J202" s="610"/>
      <c r="K202" s="610"/>
      <c r="L202" s="610"/>
      <c r="M202" s="610"/>
      <c r="N202" s="610"/>
      <c r="O202" s="610"/>
      <c r="P202" s="610"/>
      <c r="Q202" s="610"/>
      <c r="R202" s="610"/>
    </row>
    <row r="203" spans="1:18" ht="23.25">
      <c r="A203" s="610"/>
      <c r="B203" s="610"/>
      <c r="C203" s="610"/>
      <c r="D203" s="610"/>
      <c r="E203" s="610"/>
      <c r="F203" s="182"/>
      <c r="G203" s="610"/>
      <c r="H203" s="610"/>
      <c r="I203" s="610"/>
      <c r="J203" s="610"/>
      <c r="K203" s="610"/>
      <c r="L203" s="610"/>
      <c r="M203" s="610"/>
      <c r="N203" s="610"/>
      <c r="O203" s="610"/>
      <c r="P203" s="610"/>
      <c r="Q203" s="610"/>
      <c r="R203" s="610"/>
    </row>
    <row r="204" spans="1:18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</sheetData>
  <mergeCells count="53">
    <mergeCell ref="C30:D30"/>
    <mergeCell ref="J30:L30"/>
    <mergeCell ref="N30:O30"/>
    <mergeCell ref="R30:R31"/>
    <mergeCell ref="C57:D57"/>
    <mergeCell ref="J57:L57"/>
    <mergeCell ref="N57:O57"/>
    <mergeCell ref="E30:F30"/>
    <mergeCell ref="E57:F57"/>
    <mergeCell ref="A1:R1"/>
    <mergeCell ref="A2:R2"/>
    <mergeCell ref="A3:R3"/>
    <mergeCell ref="R5:R6"/>
    <mergeCell ref="N5:O5"/>
    <mergeCell ref="J5:L5"/>
    <mergeCell ref="C5:D5"/>
    <mergeCell ref="E5:F5"/>
    <mergeCell ref="N203:R203"/>
    <mergeCell ref="R126:R127"/>
    <mergeCell ref="R179:R180"/>
    <mergeCell ref="A202:E202"/>
    <mergeCell ref="G202:M202"/>
    <mergeCell ref="E152:G152"/>
    <mergeCell ref="H152:J152"/>
    <mergeCell ref="A203:E203"/>
    <mergeCell ref="G203:M203"/>
    <mergeCell ref="N202:R202"/>
    <mergeCell ref="A97:E97"/>
    <mergeCell ref="C103:D103"/>
    <mergeCell ref="N96:R96"/>
    <mergeCell ref="A96:E96"/>
    <mergeCell ref="H103:J103"/>
    <mergeCell ref="R103:R104"/>
    <mergeCell ref="C179:D179"/>
    <mergeCell ref="E179:G179"/>
    <mergeCell ref="H179:J179"/>
    <mergeCell ref="R152:R153"/>
    <mergeCell ref="R57:R58"/>
    <mergeCell ref="C84:D84"/>
    <mergeCell ref="J84:L84"/>
    <mergeCell ref="N84:O84"/>
    <mergeCell ref="R84:R85"/>
    <mergeCell ref="G97:M97"/>
    <mergeCell ref="E84:F84"/>
    <mergeCell ref="C152:D152"/>
    <mergeCell ref="A99:R99"/>
    <mergeCell ref="A100:R100"/>
    <mergeCell ref="A98:E98"/>
    <mergeCell ref="E103:G103"/>
    <mergeCell ref="N98:R98"/>
    <mergeCell ref="N97:R97"/>
    <mergeCell ref="G96:M96"/>
    <mergeCell ref="A101:R101"/>
  </mergeCells>
  <phoneticPr fontId="3" type="noConversion"/>
  <pageMargins left="0.16" right="0.15" top="0.26" bottom="0.21" header="0.19685039370078741" footer="0.16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7"/>
  <sheetViews>
    <sheetView topLeftCell="A10" zoomScaleNormal="100" zoomScaleSheetLayoutView="130" workbookViewId="0">
      <selection activeCell="D17" sqref="D17"/>
    </sheetView>
  </sheetViews>
  <sheetFormatPr defaultRowHeight="23.25"/>
  <cols>
    <col min="1" max="1" width="17.85546875" style="1" customWidth="1"/>
    <col min="2" max="2" width="18.28515625" style="1" customWidth="1"/>
    <col min="3" max="3" width="20" style="1" customWidth="1"/>
    <col min="4" max="4" width="37.7109375" style="1" customWidth="1"/>
    <col min="5" max="5" width="9.140625" style="1"/>
    <col min="6" max="6" width="15.85546875" style="1" customWidth="1"/>
    <col min="7" max="7" width="19.5703125" style="1" customWidth="1"/>
    <col min="8" max="8" width="14.28515625" style="1" customWidth="1"/>
    <col min="9" max="16384" width="9.140625" style="1"/>
  </cols>
  <sheetData>
    <row r="1" spans="1:8">
      <c r="A1" s="420" t="s">
        <v>53</v>
      </c>
      <c r="B1" s="328"/>
      <c r="C1" s="328"/>
      <c r="D1" s="500" t="s">
        <v>48</v>
      </c>
      <c r="E1" s="128"/>
      <c r="F1" s="128"/>
      <c r="G1" s="128"/>
    </row>
    <row r="2" spans="1:8">
      <c r="A2" s="421" t="s">
        <v>44</v>
      </c>
      <c r="B2" s="180"/>
      <c r="C2" s="180"/>
      <c r="D2" s="425" t="s">
        <v>159</v>
      </c>
      <c r="E2" s="128"/>
      <c r="F2" s="128"/>
      <c r="G2" s="128"/>
    </row>
    <row r="3" spans="1:8">
      <c r="A3" s="428"/>
      <c r="B3" s="218"/>
      <c r="C3" s="218"/>
      <c r="D3" s="499"/>
      <c r="E3" s="128"/>
      <c r="F3" s="128"/>
      <c r="G3" s="128"/>
    </row>
    <row r="4" spans="1:8">
      <c r="A4" s="209"/>
      <c r="B4" s="180"/>
      <c r="C4" s="180"/>
      <c r="D4" s="425" t="s">
        <v>160</v>
      </c>
      <c r="E4" s="128"/>
      <c r="F4" s="128"/>
      <c r="G4" s="128"/>
    </row>
    <row r="5" spans="1:8">
      <c r="A5" s="421" t="s">
        <v>436</v>
      </c>
      <c r="B5" s="245"/>
      <c r="C5" s="288"/>
      <c r="D5" s="135">
        <f>D25+D22</f>
        <v>25892182.309999999</v>
      </c>
      <c r="E5" s="128"/>
      <c r="F5" s="123"/>
      <c r="G5" s="181">
        <v>25892182.309999999</v>
      </c>
    </row>
    <row r="6" spans="1:8">
      <c r="A6" s="421" t="s">
        <v>412</v>
      </c>
      <c r="B6" s="245"/>
      <c r="C6" s="288"/>
      <c r="D6" s="135"/>
      <c r="E6" s="128"/>
      <c r="F6" s="123"/>
      <c r="G6" s="181">
        <f>D5-G5</f>
        <v>0</v>
      </c>
    </row>
    <row r="7" spans="1:8">
      <c r="A7" s="421" t="s">
        <v>411</v>
      </c>
      <c r="B7" s="245"/>
      <c r="C7" s="288"/>
      <c r="D7" s="135"/>
      <c r="E7" s="128"/>
      <c r="F7" s="123"/>
      <c r="G7" s="181"/>
    </row>
    <row r="8" spans="1:8">
      <c r="A8" s="422" t="s">
        <v>161</v>
      </c>
      <c r="B8" s="173" t="s">
        <v>162</v>
      </c>
      <c r="C8" s="289" t="s">
        <v>47</v>
      </c>
      <c r="D8" s="135"/>
      <c r="E8" s="128"/>
      <c r="F8" s="123"/>
      <c r="G8" s="181"/>
      <c r="H8" s="17"/>
    </row>
    <row r="9" spans="1:8">
      <c r="A9" s="423" t="s">
        <v>164</v>
      </c>
      <c r="B9" s="245"/>
      <c r="C9" s="180"/>
      <c r="D9" s="426"/>
      <c r="E9" s="128"/>
      <c r="F9" s="181"/>
      <c r="G9" s="181"/>
      <c r="H9" s="17"/>
    </row>
    <row r="10" spans="1:8">
      <c r="A10" s="422" t="s">
        <v>45</v>
      </c>
      <c r="B10" s="173" t="s">
        <v>46</v>
      </c>
      <c r="C10" s="173" t="s">
        <v>47</v>
      </c>
      <c r="D10" s="426"/>
      <c r="E10" s="128"/>
      <c r="F10" s="128"/>
      <c r="G10" s="181"/>
      <c r="H10" s="23"/>
    </row>
    <row r="11" spans="1:8">
      <c r="A11" s="430" t="s">
        <v>413</v>
      </c>
      <c r="B11" s="134">
        <v>25242143</v>
      </c>
      <c r="C11" s="125">
        <v>100</v>
      </c>
      <c r="D11" s="427"/>
      <c r="E11" s="128"/>
      <c r="F11" s="123"/>
      <c r="G11" s="123"/>
      <c r="H11" s="1" t="s">
        <v>416</v>
      </c>
    </row>
    <row r="12" spans="1:8">
      <c r="A12" s="430" t="s">
        <v>417</v>
      </c>
      <c r="B12" s="134">
        <v>27639282</v>
      </c>
      <c r="C12" s="125">
        <v>639.17999999999995</v>
      </c>
      <c r="D12" s="427"/>
      <c r="E12" s="128"/>
      <c r="F12" s="123"/>
      <c r="G12" s="123"/>
      <c r="H12" s="1" t="s">
        <v>423</v>
      </c>
    </row>
    <row r="13" spans="1:8">
      <c r="A13" s="430" t="s">
        <v>424</v>
      </c>
      <c r="B13" s="134">
        <v>29135647</v>
      </c>
      <c r="C13" s="125">
        <v>875</v>
      </c>
      <c r="D13" s="427"/>
      <c r="E13" s="128"/>
      <c r="F13" s="123"/>
      <c r="G13" s="123"/>
      <c r="H13" s="1" t="s">
        <v>440</v>
      </c>
    </row>
    <row r="14" spans="1:8">
      <c r="A14" s="430" t="s">
        <v>441</v>
      </c>
      <c r="B14" s="134">
        <v>29135671</v>
      </c>
      <c r="C14" s="125">
        <v>875</v>
      </c>
      <c r="D14" s="427"/>
      <c r="E14" s="128"/>
      <c r="F14" s="123"/>
      <c r="G14" s="123"/>
    </row>
    <row r="15" spans="1:8">
      <c r="A15" s="430" t="s">
        <v>441</v>
      </c>
      <c r="B15" s="134">
        <v>29135673</v>
      </c>
      <c r="C15" s="125">
        <v>510</v>
      </c>
      <c r="D15" s="427"/>
      <c r="E15" s="128"/>
      <c r="F15" s="123"/>
      <c r="G15" s="123"/>
    </row>
    <row r="16" spans="1:8">
      <c r="A16" s="430" t="s">
        <v>442</v>
      </c>
      <c r="B16" s="134">
        <v>29135685</v>
      </c>
      <c r="C16" s="125">
        <v>4750</v>
      </c>
      <c r="D16" s="427"/>
      <c r="E16" s="128"/>
      <c r="F16" s="123"/>
      <c r="G16" s="123"/>
    </row>
    <row r="17" spans="1:7">
      <c r="A17" s="430" t="s">
        <v>442</v>
      </c>
      <c r="B17" s="134">
        <v>29135686</v>
      </c>
      <c r="C17" s="125">
        <v>26747.66</v>
      </c>
      <c r="D17" s="427"/>
      <c r="E17" s="128"/>
      <c r="F17" s="123"/>
      <c r="G17" s="123"/>
    </row>
    <row r="18" spans="1:7">
      <c r="A18" s="430" t="s">
        <v>442</v>
      </c>
      <c r="B18" s="134">
        <v>29135687</v>
      </c>
      <c r="C18" s="125">
        <v>7155</v>
      </c>
      <c r="D18" s="427"/>
      <c r="E18" s="128"/>
      <c r="F18" s="427"/>
      <c r="G18" s="123"/>
    </row>
    <row r="19" spans="1:7">
      <c r="A19" s="430" t="s">
        <v>442</v>
      </c>
      <c r="B19" s="134">
        <v>29135688</v>
      </c>
      <c r="C19" s="125">
        <v>111280.19</v>
      </c>
      <c r="D19" s="427"/>
      <c r="E19" s="128"/>
      <c r="F19" s="123"/>
      <c r="G19" s="123"/>
    </row>
    <row r="20" spans="1:7">
      <c r="A20" s="430" t="s">
        <v>442</v>
      </c>
      <c r="B20" s="134">
        <v>29135692</v>
      </c>
      <c r="C20" s="125">
        <v>532</v>
      </c>
      <c r="D20" s="427"/>
      <c r="E20" s="128"/>
      <c r="F20" s="123"/>
      <c r="G20" s="123"/>
    </row>
    <row r="21" spans="1:7">
      <c r="A21" s="430" t="s">
        <v>443</v>
      </c>
      <c r="B21" s="134">
        <v>29135694</v>
      </c>
      <c r="C21" s="125">
        <v>120</v>
      </c>
      <c r="D21" s="427"/>
      <c r="E21" s="128"/>
      <c r="F21" s="123"/>
      <c r="G21" s="123"/>
    </row>
    <row r="22" spans="1:7">
      <c r="A22" s="430" t="s">
        <v>443</v>
      </c>
      <c r="B22" s="134">
        <v>29135695</v>
      </c>
      <c r="C22" s="125">
        <v>6552.19</v>
      </c>
      <c r="D22" s="427">
        <f>C11+C12+C13+C14+C15+C16+C17+C18+C19+C20+C21+C22</f>
        <v>160136.22</v>
      </c>
      <c r="E22" s="128"/>
      <c r="F22" s="123"/>
      <c r="G22" s="123"/>
    </row>
    <row r="23" spans="1:7">
      <c r="A23" s="421" t="s">
        <v>165</v>
      </c>
      <c r="B23" s="134"/>
      <c r="C23" s="125"/>
      <c r="D23" s="427"/>
      <c r="E23" s="128"/>
      <c r="F23" s="123"/>
      <c r="G23" s="123"/>
    </row>
    <row r="24" spans="1:7">
      <c r="A24" s="431" t="s">
        <v>166</v>
      </c>
      <c r="B24" s="290" t="s">
        <v>167</v>
      </c>
      <c r="C24" s="291" t="s">
        <v>47</v>
      </c>
      <c r="D24" s="427"/>
      <c r="E24" s="128"/>
      <c r="F24" s="123"/>
      <c r="G24" s="123"/>
    </row>
    <row r="25" spans="1:7">
      <c r="A25" s="428" t="s">
        <v>437</v>
      </c>
      <c r="B25" s="218"/>
      <c r="C25" s="292"/>
      <c r="D25" s="432">
        <v>25732046.09</v>
      </c>
      <c r="E25" s="128"/>
      <c r="F25" s="123"/>
      <c r="G25" s="123"/>
    </row>
    <row r="26" spans="1:7">
      <c r="A26" s="294" t="s">
        <v>168</v>
      </c>
      <c r="B26" s="293"/>
      <c r="C26" s="293"/>
      <c r="D26" s="433" t="s">
        <v>169</v>
      </c>
      <c r="E26" s="128"/>
      <c r="F26" s="123"/>
      <c r="G26" s="123"/>
    </row>
    <row r="27" spans="1:7">
      <c r="A27" s="617" t="s">
        <v>438</v>
      </c>
      <c r="B27" s="596"/>
      <c r="C27" s="596"/>
      <c r="D27" s="210" t="s">
        <v>439</v>
      </c>
      <c r="E27" s="293"/>
      <c r="F27" s="123"/>
      <c r="G27" s="123"/>
    </row>
    <row r="28" spans="1:7">
      <c r="A28" s="614" t="s">
        <v>388</v>
      </c>
      <c r="B28" s="610"/>
      <c r="C28" s="182"/>
      <c r="D28" s="230" t="s">
        <v>170</v>
      </c>
      <c r="E28" s="128"/>
      <c r="F28" s="123"/>
      <c r="G28" s="123"/>
    </row>
    <row r="29" spans="1:7">
      <c r="A29" s="615" t="s">
        <v>308</v>
      </c>
      <c r="B29" s="616"/>
      <c r="C29" s="282"/>
      <c r="D29" s="418" t="s">
        <v>171</v>
      </c>
      <c r="E29" s="128"/>
      <c r="F29" s="123"/>
      <c r="G29" s="181"/>
    </row>
    <row r="30" spans="1:7">
      <c r="A30" s="182"/>
      <c r="B30" s="182"/>
      <c r="C30" s="180"/>
      <c r="D30" s="182"/>
      <c r="E30" s="128"/>
      <c r="F30" s="123"/>
      <c r="G30" s="181"/>
    </row>
    <row r="31" spans="1:7">
      <c r="A31" s="182"/>
      <c r="B31" s="182"/>
      <c r="C31" s="180"/>
      <c r="D31" s="182"/>
      <c r="E31" s="128"/>
      <c r="F31" s="123"/>
      <c r="G31" s="181"/>
    </row>
    <row r="32" spans="1:7">
      <c r="A32" s="182"/>
      <c r="B32" s="182"/>
      <c r="C32" s="180"/>
      <c r="D32" s="182"/>
      <c r="E32" s="128"/>
      <c r="F32" s="123"/>
      <c r="G32" s="181"/>
    </row>
    <row r="33" spans="1:7">
      <c r="A33" s="182"/>
      <c r="B33" s="182"/>
      <c r="C33" s="180"/>
      <c r="D33" s="182"/>
      <c r="E33" s="128"/>
      <c r="F33" s="123"/>
      <c r="G33" s="181"/>
    </row>
    <row r="34" spans="1:7">
      <c r="A34" s="182"/>
      <c r="B34" s="182"/>
      <c r="C34" s="180"/>
      <c r="D34" s="182"/>
      <c r="E34" s="128"/>
      <c r="F34" s="123"/>
      <c r="G34" s="181"/>
    </row>
    <row r="35" spans="1:7">
      <c r="A35" s="182"/>
      <c r="B35" s="182"/>
      <c r="C35" s="180"/>
      <c r="D35" s="182"/>
      <c r="E35" s="128"/>
      <c r="F35" s="123"/>
      <c r="G35" s="181"/>
    </row>
    <row r="36" spans="1:7">
      <c r="A36" s="182"/>
      <c r="B36" s="182"/>
      <c r="C36" s="180"/>
      <c r="D36" s="182"/>
      <c r="E36" s="128"/>
      <c r="F36" s="123"/>
      <c r="G36" s="181"/>
    </row>
    <row r="37" spans="1:7">
      <c r="A37" s="182"/>
      <c r="B37" s="182"/>
      <c r="C37" s="180"/>
      <c r="D37" s="182"/>
      <c r="E37" s="128"/>
      <c r="F37" s="123"/>
      <c r="G37" s="181"/>
    </row>
    <row r="38" spans="1:7">
      <c r="A38" s="182"/>
      <c r="B38" s="182"/>
      <c r="C38" s="180"/>
      <c r="D38" s="182"/>
      <c r="E38" s="128"/>
      <c r="F38" s="123"/>
      <c r="G38" s="181"/>
    </row>
    <row r="39" spans="1:7">
      <c r="A39" s="182"/>
      <c r="B39" s="182"/>
      <c r="C39" s="180"/>
      <c r="D39" s="182"/>
      <c r="E39" s="128"/>
      <c r="F39" s="123"/>
      <c r="G39" s="181"/>
    </row>
    <row r="40" spans="1:7">
      <c r="A40" s="182"/>
      <c r="B40" s="182"/>
      <c r="C40" s="180"/>
      <c r="D40" s="182"/>
      <c r="E40" s="128"/>
      <c r="F40" s="123"/>
      <c r="G40" s="181"/>
    </row>
    <row r="41" spans="1:7">
      <c r="A41" s="182"/>
      <c r="B41" s="182"/>
      <c r="C41" s="180"/>
      <c r="D41" s="182"/>
      <c r="E41" s="128"/>
      <c r="F41" s="123"/>
      <c r="G41" s="181"/>
    </row>
    <row r="42" spans="1:7">
      <c r="A42" s="182"/>
      <c r="B42" s="182"/>
      <c r="C42" s="180"/>
      <c r="D42" s="182"/>
      <c r="E42" s="128"/>
      <c r="F42" s="123"/>
      <c r="G42" s="181"/>
    </row>
    <row r="43" spans="1:7">
      <c r="A43" s="182"/>
      <c r="B43" s="182"/>
      <c r="C43" s="180"/>
      <c r="D43" s="182"/>
      <c r="E43" s="128"/>
      <c r="F43" s="123"/>
      <c r="G43" s="181"/>
    </row>
    <row r="44" spans="1:7">
      <c r="A44" s="182"/>
      <c r="B44" s="182"/>
      <c r="C44" s="180"/>
      <c r="D44" s="182"/>
      <c r="E44" s="128"/>
      <c r="F44" s="123"/>
      <c r="G44" s="181"/>
    </row>
    <row r="45" spans="1:7">
      <c r="A45" s="182"/>
      <c r="B45" s="182"/>
      <c r="C45" s="180"/>
      <c r="D45" s="182"/>
      <c r="E45" s="128"/>
      <c r="F45" s="123"/>
      <c r="G45" s="181"/>
    </row>
    <row r="46" spans="1:7">
      <c r="A46" s="182"/>
      <c r="B46" s="182"/>
      <c r="C46" s="180"/>
      <c r="D46" s="182"/>
      <c r="E46" s="128"/>
      <c r="F46" s="123"/>
      <c r="G46" s="181"/>
    </row>
    <row r="47" spans="1:7">
      <c r="A47" s="182"/>
      <c r="B47" s="182"/>
      <c r="C47" s="180"/>
      <c r="D47" s="182"/>
      <c r="E47" s="128"/>
      <c r="F47" s="123"/>
      <c r="G47" s="181"/>
    </row>
    <row r="48" spans="1:7">
      <c r="A48" s="182"/>
      <c r="B48" s="182"/>
      <c r="C48" s="180"/>
      <c r="D48" s="182"/>
      <c r="E48" s="128"/>
      <c r="F48" s="123"/>
      <c r="G48" s="181"/>
    </row>
    <row r="49" spans="1:7">
      <c r="A49" s="182"/>
      <c r="B49" s="182"/>
      <c r="C49" s="180"/>
      <c r="D49" s="182"/>
      <c r="E49" s="128"/>
      <c r="F49" s="123"/>
      <c r="G49" s="181"/>
    </row>
    <row r="50" spans="1:7">
      <c r="A50" s="182"/>
      <c r="B50" s="182"/>
      <c r="C50" s="180"/>
      <c r="D50" s="182"/>
      <c r="E50" s="128"/>
      <c r="F50" s="123"/>
      <c r="G50" s="181"/>
    </row>
    <row r="51" spans="1:7">
      <c r="A51" s="182"/>
      <c r="B51" s="182"/>
      <c r="C51" s="180"/>
      <c r="D51" s="182"/>
      <c r="E51" s="128"/>
      <c r="F51" s="123"/>
      <c r="G51" s="181"/>
    </row>
    <row r="52" spans="1:7">
      <c r="A52" s="182"/>
      <c r="B52" s="182"/>
      <c r="C52" s="180"/>
      <c r="D52" s="182"/>
      <c r="E52" s="128"/>
      <c r="F52" s="123"/>
      <c r="G52" s="181"/>
    </row>
    <row r="53" spans="1:7">
      <c r="A53" s="182"/>
      <c r="B53" s="182"/>
      <c r="C53" s="180"/>
      <c r="D53" s="182"/>
      <c r="E53" s="128"/>
      <c r="F53" s="123"/>
      <c r="G53" s="181"/>
    </row>
    <row r="54" spans="1:7">
      <c r="A54" s="182"/>
      <c r="B54" s="182"/>
      <c r="C54" s="180"/>
      <c r="D54" s="182"/>
      <c r="E54" s="128"/>
      <c r="F54" s="123"/>
      <c r="G54" s="181"/>
    </row>
    <row r="55" spans="1:7">
      <c r="A55" s="182"/>
      <c r="B55" s="182"/>
      <c r="C55" s="180"/>
      <c r="D55" s="182"/>
      <c r="E55" s="128"/>
      <c r="F55" s="123"/>
      <c r="G55" s="181"/>
    </row>
    <row r="56" spans="1:7">
      <c r="A56" s="182"/>
      <c r="B56" s="182"/>
      <c r="C56" s="180"/>
      <c r="D56" s="182"/>
      <c r="E56" s="128"/>
      <c r="F56" s="123"/>
      <c r="G56" s="181"/>
    </row>
    <row r="57" spans="1:7">
      <c r="A57" s="182"/>
      <c r="B57" s="182"/>
      <c r="C57" s="180"/>
      <c r="D57" s="182"/>
      <c r="E57" s="128"/>
      <c r="F57" s="123"/>
      <c r="G57" s="181"/>
    </row>
    <row r="58" spans="1:7">
      <c r="A58" s="182"/>
      <c r="B58" s="182"/>
      <c r="C58" s="180"/>
      <c r="D58" s="182"/>
      <c r="E58" s="128"/>
      <c r="F58" s="123"/>
      <c r="G58" s="181"/>
    </row>
    <row r="59" spans="1:7">
      <c r="A59" s="420" t="s">
        <v>53</v>
      </c>
      <c r="B59" s="328"/>
      <c r="C59" s="328"/>
      <c r="D59" s="424" t="s">
        <v>48</v>
      </c>
      <c r="E59" s="128"/>
      <c r="F59" s="128"/>
      <c r="G59" s="128"/>
    </row>
    <row r="60" spans="1:7">
      <c r="A60" s="421" t="s">
        <v>44</v>
      </c>
      <c r="B60" s="180"/>
      <c r="C60" s="180"/>
      <c r="D60" s="425" t="s">
        <v>159</v>
      </c>
    </row>
    <row r="61" spans="1:7">
      <c r="A61" s="428"/>
      <c r="B61" s="218"/>
      <c r="C61" s="218"/>
      <c r="D61" s="429"/>
    </row>
    <row r="62" spans="1:7">
      <c r="A62" s="209"/>
      <c r="B62" s="180"/>
      <c r="C62" s="180"/>
      <c r="D62" s="425" t="s">
        <v>160</v>
      </c>
    </row>
    <row r="63" spans="1:7">
      <c r="A63" s="421" t="s">
        <v>410</v>
      </c>
      <c r="B63" s="245"/>
      <c r="C63" s="288"/>
      <c r="D63" s="135">
        <f>D100+D97</f>
        <v>25477259.93</v>
      </c>
      <c r="G63" s="17">
        <v>25477259.93</v>
      </c>
    </row>
    <row r="64" spans="1:7">
      <c r="A64" s="421" t="s">
        <v>163</v>
      </c>
      <c r="B64" s="245"/>
      <c r="C64" s="288"/>
      <c r="D64" s="135"/>
    </row>
    <row r="65" spans="1:4">
      <c r="A65" s="422" t="s">
        <v>161</v>
      </c>
      <c r="B65" s="173" t="s">
        <v>162</v>
      </c>
      <c r="C65" s="289" t="s">
        <v>47</v>
      </c>
      <c r="D65" s="135"/>
    </row>
    <row r="66" spans="1:4">
      <c r="A66" s="423" t="s">
        <v>164</v>
      </c>
      <c r="B66" s="245"/>
      <c r="C66" s="180"/>
      <c r="D66" s="426"/>
    </row>
    <row r="67" spans="1:4">
      <c r="A67" s="422" t="s">
        <v>45</v>
      </c>
      <c r="B67" s="173" t="s">
        <v>46</v>
      </c>
      <c r="C67" s="173" t="s">
        <v>47</v>
      </c>
      <c r="D67" s="426"/>
    </row>
    <row r="68" spans="1:4">
      <c r="A68" s="430" t="s">
        <v>389</v>
      </c>
      <c r="B68" s="134">
        <v>24416573</v>
      </c>
      <c r="C68" s="125">
        <v>490</v>
      </c>
      <c r="D68" s="427"/>
    </row>
    <row r="69" spans="1:4">
      <c r="A69" s="430" t="s">
        <v>393</v>
      </c>
      <c r="B69" s="134">
        <v>25241982</v>
      </c>
      <c r="C69" s="125">
        <v>500</v>
      </c>
      <c r="D69" s="427"/>
    </row>
    <row r="70" spans="1:4">
      <c r="A70" s="430" t="s">
        <v>394</v>
      </c>
      <c r="B70" s="134">
        <v>25241992</v>
      </c>
      <c r="C70" s="125">
        <v>490</v>
      </c>
      <c r="D70" s="427"/>
    </row>
    <row r="71" spans="1:4">
      <c r="A71" s="430" t="s">
        <v>395</v>
      </c>
      <c r="B71" s="134">
        <v>25242001</v>
      </c>
      <c r="C71" s="125">
        <v>450</v>
      </c>
      <c r="D71" s="427"/>
    </row>
    <row r="72" spans="1:4">
      <c r="A72" s="430" t="s">
        <v>395</v>
      </c>
      <c r="B72" s="134">
        <v>25242003</v>
      </c>
      <c r="C72" s="125">
        <v>2500</v>
      </c>
      <c r="D72" s="427"/>
    </row>
    <row r="73" spans="1:4">
      <c r="A73" s="430" t="s">
        <v>396</v>
      </c>
      <c r="B73" s="134">
        <v>25242007</v>
      </c>
      <c r="C73" s="125">
        <v>450</v>
      </c>
      <c r="D73" s="427"/>
    </row>
    <row r="74" spans="1:4">
      <c r="A74" s="430" t="s">
        <v>397</v>
      </c>
      <c r="B74" s="134">
        <v>25242021</v>
      </c>
      <c r="C74" s="125">
        <v>4900</v>
      </c>
      <c r="D74" s="427"/>
    </row>
    <row r="75" spans="1:4">
      <c r="A75" s="430" t="s">
        <v>397</v>
      </c>
      <c r="B75" s="134">
        <v>25242022</v>
      </c>
      <c r="C75" s="125">
        <v>3600</v>
      </c>
      <c r="D75" s="427"/>
    </row>
    <row r="76" spans="1:4">
      <c r="A76" s="430" t="s">
        <v>401</v>
      </c>
      <c r="B76" s="134">
        <v>25242036</v>
      </c>
      <c r="C76" s="125">
        <v>30000</v>
      </c>
      <c r="D76" s="427"/>
    </row>
    <row r="77" spans="1:4">
      <c r="A77" s="430" t="s">
        <v>402</v>
      </c>
      <c r="B77" s="134">
        <v>25242044</v>
      </c>
      <c r="C77" s="125">
        <v>2100</v>
      </c>
      <c r="D77" s="427"/>
    </row>
    <row r="78" spans="1:4">
      <c r="A78" s="430" t="s">
        <v>403</v>
      </c>
      <c r="B78" s="134">
        <v>25242051</v>
      </c>
      <c r="C78" s="125">
        <v>900</v>
      </c>
      <c r="D78" s="427"/>
    </row>
    <row r="79" spans="1:4">
      <c r="A79" s="430" t="s">
        <v>403</v>
      </c>
      <c r="B79" s="134">
        <v>25242056</v>
      </c>
      <c r="C79" s="125">
        <v>1081.08</v>
      </c>
      <c r="D79" s="427"/>
    </row>
    <row r="80" spans="1:4">
      <c r="A80" s="430" t="s">
        <v>403</v>
      </c>
      <c r="B80" s="134">
        <v>25242058</v>
      </c>
      <c r="C80" s="125">
        <v>460</v>
      </c>
      <c r="D80" s="427"/>
    </row>
    <row r="81" spans="1:4">
      <c r="A81" s="430" t="s">
        <v>403</v>
      </c>
      <c r="B81" s="134">
        <v>25242062</v>
      </c>
      <c r="C81" s="125">
        <v>450</v>
      </c>
      <c r="D81" s="427"/>
    </row>
    <row r="82" spans="1:4">
      <c r="A82" s="430" t="s">
        <v>404</v>
      </c>
      <c r="B82" s="134">
        <v>25242067</v>
      </c>
      <c r="C82" s="125">
        <v>71000</v>
      </c>
      <c r="D82" s="427"/>
    </row>
    <row r="83" spans="1:4">
      <c r="A83" s="430" t="s">
        <v>404</v>
      </c>
      <c r="B83" s="134">
        <v>25242071</v>
      </c>
      <c r="C83" s="125">
        <v>632</v>
      </c>
      <c r="D83" s="427"/>
    </row>
    <row r="84" spans="1:4">
      <c r="A84" s="430" t="s">
        <v>404</v>
      </c>
      <c r="B84" s="134">
        <v>25242072</v>
      </c>
      <c r="C84" s="125">
        <v>3000</v>
      </c>
      <c r="D84" s="427"/>
    </row>
    <row r="85" spans="1:4">
      <c r="A85" s="430" t="s">
        <v>404</v>
      </c>
      <c r="B85" s="134">
        <v>25242073</v>
      </c>
      <c r="C85" s="125">
        <v>500</v>
      </c>
      <c r="D85" s="427"/>
    </row>
    <row r="86" spans="1:4">
      <c r="A86" s="430" t="s">
        <v>405</v>
      </c>
      <c r="B86" s="134">
        <v>25242080</v>
      </c>
      <c r="C86" s="125">
        <v>10250</v>
      </c>
      <c r="D86" s="427"/>
    </row>
    <row r="87" spans="1:4">
      <c r="A87" s="430" t="s">
        <v>405</v>
      </c>
      <c r="B87" s="134">
        <v>25242081</v>
      </c>
      <c r="C87" s="125">
        <v>300</v>
      </c>
      <c r="D87" s="427"/>
    </row>
    <row r="88" spans="1:4">
      <c r="A88" s="491" t="s">
        <v>405</v>
      </c>
      <c r="B88" s="275">
        <v>25242082</v>
      </c>
      <c r="C88" s="170">
        <v>6439.25</v>
      </c>
      <c r="D88" s="492"/>
    </row>
    <row r="89" spans="1:4">
      <c r="A89" s="489"/>
      <c r="B89" s="134"/>
      <c r="C89" s="125"/>
      <c r="D89" s="490"/>
    </row>
    <row r="90" spans="1:4">
      <c r="A90" s="493"/>
      <c r="B90" s="275"/>
      <c r="C90" s="170"/>
      <c r="D90" s="494"/>
    </row>
    <row r="91" spans="1:4">
      <c r="A91" s="430" t="s">
        <v>405</v>
      </c>
      <c r="B91" s="134">
        <v>25242083</v>
      </c>
      <c r="C91" s="125">
        <v>9010</v>
      </c>
      <c r="D91" s="427"/>
    </row>
    <row r="92" spans="1:4">
      <c r="A92" s="430" t="s">
        <v>406</v>
      </c>
      <c r="B92" s="134">
        <v>25242084</v>
      </c>
      <c r="C92" s="125">
        <v>1310.1099999999999</v>
      </c>
      <c r="D92" s="427"/>
    </row>
    <row r="93" spans="1:4">
      <c r="A93" s="430" t="s">
        <v>406</v>
      </c>
      <c r="B93" s="134">
        <v>25242085</v>
      </c>
      <c r="C93" s="125">
        <v>1500</v>
      </c>
      <c r="D93" s="427"/>
    </row>
    <row r="94" spans="1:4">
      <c r="A94" s="430" t="s">
        <v>406</v>
      </c>
      <c r="B94" s="134">
        <v>25242086</v>
      </c>
      <c r="C94" s="125">
        <v>2011.68</v>
      </c>
      <c r="D94" s="427"/>
    </row>
    <row r="95" spans="1:4">
      <c r="A95" s="430" t="s">
        <v>406</v>
      </c>
      <c r="B95" s="134">
        <v>25242087</v>
      </c>
      <c r="C95" s="125">
        <v>4770</v>
      </c>
      <c r="D95" s="427"/>
    </row>
    <row r="96" spans="1:4">
      <c r="A96" s="430" t="s">
        <v>406</v>
      </c>
      <c r="B96" s="134">
        <v>25242088</v>
      </c>
      <c r="C96" s="125">
        <v>820.71</v>
      </c>
      <c r="D96" s="427"/>
    </row>
    <row r="97" spans="1:7">
      <c r="A97" s="430" t="s">
        <v>406</v>
      </c>
      <c r="B97" s="134">
        <v>25242089</v>
      </c>
      <c r="C97" s="125">
        <v>60816.26</v>
      </c>
      <c r="D97" s="427">
        <f>C68+C69+C70+C71+C72+C73+C74+C75+C76+C77+C78+C79+C80+C81+C82+C83+C84+C85+C86+C87+C88+C91+C92+C93+C94+C95+C96+C97</f>
        <v>220731.09</v>
      </c>
    </row>
    <row r="98" spans="1:7">
      <c r="A98" s="421" t="s">
        <v>165</v>
      </c>
      <c r="B98" s="134"/>
      <c r="C98" s="125"/>
      <c r="D98" s="427"/>
    </row>
    <row r="99" spans="1:7">
      <c r="A99" s="431" t="s">
        <v>166</v>
      </c>
      <c r="B99" s="290" t="s">
        <v>167</v>
      </c>
      <c r="C99" s="291" t="s">
        <v>47</v>
      </c>
      <c r="D99" s="427"/>
    </row>
    <row r="100" spans="1:7">
      <c r="A100" s="428" t="s">
        <v>409</v>
      </c>
      <c r="B100" s="218"/>
      <c r="C100" s="292"/>
      <c r="D100" s="432">
        <v>25256528.84</v>
      </c>
      <c r="G100" s="17">
        <v>27708593.989999998</v>
      </c>
    </row>
    <row r="101" spans="1:7">
      <c r="A101" s="420"/>
      <c r="B101" s="180"/>
      <c r="C101" s="179"/>
      <c r="D101" s="131"/>
      <c r="G101" s="17">
        <v>2582631.15</v>
      </c>
    </row>
    <row r="102" spans="1:7">
      <c r="A102" s="294" t="s">
        <v>168</v>
      </c>
      <c r="B102" s="293"/>
      <c r="C102" s="293"/>
      <c r="D102" s="433" t="s">
        <v>169</v>
      </c>
      <c r="G102" s="17">
        <f>G100-G101</f>
        <v>25125962.84</v>
      </c>
    </row>
    <row r="103" spans="1:7">
      <c r="A103" s="617" t="s">
        <v>407</v>
      </c>
      <c r="B103" s="596"/>
      <c r="C103" s="596"/>
      <c r="D103" s="433" t="s">
        <v>408</v>
      </c>
      <c r="G103" s="17">
        <v>130566</v>
      </c>
    </row>
    <row r="104" spans="1:7">
      <c r="A104" s="614" t="s">
        <v>388</v>
      </c>
      <c r="B104" s="610"/>
      <c r="C104" s="182"/>
      <c r="D104" s="230" t="s">
        <v>170</v>
      </c>
      <c r="G104" s="23">
        <f>G102+G103</f>
        <v>25256528.84</v>
      </c>
    </row>
    <row r="105" spans="1:7">
      <c r="A105" s="615" t="s">
        <v>308</v>
      </c>
      <c r="B105" s="616"/>
      <c r="C105" s="282"/>
      <c r="D105" s="418" t="s">
        <v>171</v>
      </c>
    </row>
    <row r="127" spans="4:4">
      <c r="D127" s="419"/>
    </row>
  </sheetData>
  <mergeCells count="6">
    <mergeCell ref="A28:B28"/>
    <mergeCell ref="A29:B29"/>
    <mergeCell ref="A27:C27"/>
    <mergeCell ref="A103:C103"/>
    <mergeCell ref="A104:B104"/>
    <mergeCell ref="A105:B105"/>
  </mergeCells>
  <phoneticPr fontId="3" type="noConversion"/>
  <pageMargins left="0.5" right="0.42" top="0.47" bottom="0.27" header="0.12" footer="0.1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V135"/>
  <sheetViews>
    <sheetView view="pageBreakPreview" topLeftCell="A2" zoomScale="140" zoomScaleNormal="130" zoomScaleSheetLayoutView="140" workbookViewId="0">
      <pane ySplit="5" topLeftCell="A7" activePane="bottomLeft" state="frozen"/>
      <selection activeCell="A2" sqref="A2"/>
      <selection pane="bottomLeft" activeCell="A20" sqref="A20"/>
    </sheetView>
  </sheetViews>
  <sheetFormatPr defaultRowHeight="12.75"/>
  <cols>
    <col min="1" max="1" width="7" style="138" customWidth="1"/>
    <col min="2" max="3" width="8.5703125" style="138" customWidth="1"/>
    <col min="4" max="4" width="8.140625" style="138" customWidth="1"/>
    <col min="5" max="5" width="7.42578125" style="138" customWidth="1"/>
    <col min="6" max="6" width="7.7109375" style="138" customWidth="1"/>
    <col min="7" max="7" width="8" style="138" customWidth="1"/>
    <col min="8" max="8" width="7.28515625" style="138" customWidth="1"/>
    <col min="9" max="9" width="8.28515625" style="138" customWidth="1"/>
    <col min="10" max="10" width="7.7109375" style="138" customWidth="1"/>
    <col min="11" max="13" width="8.5703125" style="138" customWidth="1"/>
    <col min="14" max="14" width="8.140625" style="138" customWidth="1"/>
    <col min="15" max="15" width="8.28515625" style="138" customWidth="1"/>
    <col min="16" max="16" width="9" style="138" customWidth="1"/>
    <col min="17" max="17" width="8.140625" style="138" customWidth="1"/>
    <col min="18" max="18" width="9.28515625" style="138" customWidth="1"/>
    <col min="19" max="19" width="12.42578125" style="138" customWidth="1"/>
    <col min="20" max="20" width="14" style="138" bestFit="1" customWidth="1"/>
    <col min="21" max="21" width="9.140625" style="138"/>
    <col min="22" max="22" width="15.5703125" style="138" customWidth="1"/>
    <col min="23" max="16384" width="9.140625" style="138"/>
  </cols>
  <sheetData>
    <row r="1" spans="1:20" ht="21">
      <c r="A1" s="535" t="s">
        <v>142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237"/>
    </row>
    <row r="2" spans="1:20" ht="21">
      <c r="A2" s="535" t="s">
        <v>253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</row>
    <row r="3" spans="1:20" ht="21">
      <c r="A3" s="535" t="s">
        <v>419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</row>
    <row r="4" spans="1:20" ht="2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20" ht="21">
      <c r="A5" s="351" t="s">
        <v>39</v>
      </c>
      <c r="B5" s="337" t="s">
        <v>4</v>
      </c>
      <c r="C5" s="618" t="s">
        <v>104</v>
      </c>
      <c r="D5" s="618"/>
      <c r="E5" s="626" t="s">
        <v>107</v>
      </c>
      <c r="F5" s="627"/>
      <c r="G5" s="388" t="s">
        <v>109</v>
      </c>
      <c r="H5" s="384" t="s">
        <v>111</v>
      </c>
      <c r="I5" s="389" t="s">
        <v>113</v>
      </c>
      <c r="J5" s="623" t="s">
        <v>115</v>
      </c>
      <c r="K5" s="624"/>
      <c r="L5" s="625"/>
      <c r="M5" s="339" t="s">
        <v>117</v>
      </c>
      <c r="N5" s="619" t="s">
        <v>118</v>
      </c>
      <c r="O5" s="620"/>
      <c r="P5" s="340" t="s">
        <v>120</v>
      </c>
      <c r="Q5" s="341" t="s">
        <v>126</v>
      </c>
      <c r="R5" s="621" t="s">
        <v>41</v>
      </c>
      <c r="S5" s="136"/>
    </row>
    <row r="6" spans="1:20" ht="21">
      <c r="A6" s="352" t="s">
        <v>40</v>
      </c>
      <c r="B6" s="342" t="s">
        <v>4</v>
      </c>
      <c r="C6" s="343" t="s">
        <v>105</v>
      </c>
      <c r="D6" s="167" t="s">
        <v>106</v>
      </c>
      <c r="E6" s="167" t="s">
        <v>105</v>
      </c>
      <c r="F6" s="344" t="s">
        <v>256</v>
      </c>
      <c r="G6" s="387" t="s">
        <v>110</v>
      </c>
      <c r="H6" s="385" t="s">
        <v>112</v>
      </c>
      <c r="I6" s="396" t="s">
        <v>114</v>
      </c>
      <c r="J6" s="345" t="s">
        <v>105</v>
      </c>
      <c r="K6" s="346" t="s">
        <v>116</v>
      </c>
      <c r="L6" s="346" t="s">
        <v>134</v>
      </c>
      <c r="M6" s="347" t="s">
        <v>105</v>
      </c>
      <c r="N6" s="348" t="s">
        <v>119</v>
      </c>
      <c r="O6" s="169" t="s">
        <v>118</v>
      </c>
      <c r="P6" s="349" t="s">
        <v>121</v>
      </c>
      <c r="Q6" s="350" t="s">
        <v>127</v>
      </c>
      <c r="R6" s="622"/>
      <c r="S6" s="136"/>
    </row>
    <row r="7" spans="1:20" ht="16.5">
      <c r="A7" s="377">
        <v>5110100</v>
      </c>
      <c r="B7" s="231">
        <f>1276240-39000</f>
        <v>1237240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231">
        <f>SUM(B7:P7)</f>
        <v>1237240</v>
      </c>
      <c r="S7" s="313" t="s">
        <v>224</v>
      </c>
      <c r="T7" s="313"/>
    </row>
    <row r="8" spans="1:20" ht="16.5">
      <c r="A8" s="377">
        <v>5110200</v>
      </c>
      <c r="B8" s="231">
        <v>247660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231">
        <f t="shared" ref="R8:R16" si="0">SUM(B8:Q8)</f>
        <v>247660</v>
      </c>
      <c r="S8" s="313" t="s">
        <v>225</v>
      </c>
      <c r="T8" s="313"/>
    </row>
    <row r="9" spans="1:20" ht="16.5">
      <c r="A9" s="377">
        <v>5110300</v>
      </c>
      <c r="B9" s="231">
        <f>103307-9644-9644-9644-9644-10031</f>
        <v>54700</v>
      </c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231">
        <f t="shared" si="0"/>
        <v>54700</v>
      </c>
      <c r="S9" s="313" t="s">
        <v>226</v>
      </c>
      <c r="T9" s="313"/>
    </row>
    <row r="10" spans="1:20" ht="16.5">
      <c r="A10" s="377">
        <v>5110900</v>
      </c>
      <c r="B10" s="231">
        <f>36000-8000-4000-4000+10000</f>
        <v>30000</v>
      </c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231">
        <f t="shared" si="0"/>
        <v>30000</v>
      </c>
      <c r="S10" s="235" t="s">
        <v>223</v>
      </c>
      <c r="T10" s="313"/>
    </row>
    <row r="11" spans="1:20" ht="16.5">
      <c r="A11" s="377">
        <v>5110700</v>
      </c>
      <c r="B11" s="231">
        <f>5527700-12500-1523700-764800-763600-13700</f>
        <v>2449400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231">
        <f>SUM(B11:Q11)</f>
        <v>2449400</v>
      </c>
      <c r="S11" s="235" t="s">
        <v>321</v>
      </c>
      <c r="T11" s="313"/>
    </row>
    <row r="12" spans="1:20" ht="16.5">
      <c r="A12" s="377">
        <v>5110800</v>
      </c>
      <c r="B12" s="231">
        <f>1239200-3200-316000-160800-160800-4800</f>
        <v>593600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231">
        <f>SUM(B12:Q12)</f>
        <v>593600</v>
      </c>
      <c r="S12" s="235" t="s">
        <v>320</v>
      </c>
      <c r="T12" s="313"/>
    </row>
    <row r="13" spans="1:20" ht="16.5">
      <c r="A13" s="377">
        <v>5111100</v>
      </c>
      <c r="B13" s="231">
        <v>70000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231">
        <f t="shared" si="0"/>
        <v>70000</v>
      </c>
      <c r="S13" s="235" t="s">
        <v>227</v>
      </c>
      <c r="T13" s="313"/>
    </row>
    <row r="14" spans="1:20" ht="16.5">
      <c r="A14" s="377">
        <v>5120900</v>
      </c>
      <c r="B14" s="231">
        <f>24100-2725-2725+15000+10000</f>
        <v>43650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231">
        <f t="shared" si="0"/>
        <v>43650</v>
      </c>
      <c r="S14" s="235" t="s">
        <v>222</v>
      </c>
      <c r="T14" s="313"/>
    </row>
    <row r="15" spans="1:20" ht="16.5">
      <c r="A15" s="377">
        <v>5111000</v>
      </c>
      <c r="B15" s="231">
        <f>182500-30000</f>
        <v>152500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231">
        <f t="shared" si="0"/>
        <v>152500</v>
      </c>
      <c r="S15" s="235" t="s">
        <v>192</v>
      </c>
      <c r="T15" s="313"/>
    </row>
    <row r="16" spans="1:20" ht="16.5">
      <c r="A16" s="377">
        <v>5111200</v>
      </c>
      <c r="B16" s="231">
        <f>27000-27000</f>
        <v>0</v>
      </c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231">
        <f t="shared" si="0"/>
        <v>0</v>
      </c>
      <c r="S16" s="235" t="s">
        <v>380</v>
      </c>
      <c r="T16" s="313"/>
    </row>
    <row r="17" spans="1:20" ht="16.5">
      <c r="A17" s="378" t="s">
        <v>42</v>
      </c>
      <c r="B17" s="231">
        <f>SUM(B7:B16)</f>
        <v>4878750</v>
      </c>
      <c r="C17" s="353">
        <f t="shared" ref="C17:Q17" si="1">SUM(C7:C15)</f>
        <v>0</v>
      </c>
      <c r="D17" s="353">
        <f t="shared" si="1"/>
        <v>0</v>
      </c>
      <c r="E17" s="353">
        <f t="shared" si="1"/>
        <v>0</v>
      </c>
      <c r="F17" s="353">
        <f t="shared" si="1"/>
        <v>0</v>
      </c>
      <c r="G17" s="353">
        <f t="shared" si="1"/>
        <v>0</v>
      </c>
      <c r="H17" s="353">
        <f t="shared" si="1"/>
        <v>0</v>
      </c>
      <c r="I17" s="353">
        <f t="shared" si="1"/>
        <v>0</v>
      </c>
      <c r="J17" s="353">
        <f t="shared" si="1"/>
        <v>0</v>
      </c>
      <c r="K17" s="353">
        <f t="shared" si="1"/>
        <v>0</v>
      </c>
      <c r="L17" s="353">
        <f t="shared" si="1"/>
        <v>0</v>
      </c>
      <c r="M17" s="353">
        <f t="shared" si="1"/>
        <v>0</v>
      </c>
      <c r="N17" s="353">
        <f t="shared" si="1"/>
        <v>0</v>
      </c>
      <c r="O17" s="353">
        <f t="shared" si="1"/>
        <v>0</v>
      </c>
      <c r="P17" s="353">
        <f t="shared" si="1"/>
        <v>0</v>
      </c>
      <c r="Q17" s="353">
        <f t="shared" si="1"/>
        <v>0</v>
      </c>
      <c r="R17" s="231">
        <f t="shared" ref="R17:R22" si="2">SUM(B17:P17)</f>
        <v>4878750</v>
      </c>
      <c r="S17" s="437"/>
      <c r="T17" s="314"/>
    </row>
    <row r="18" spans="1:20" ht="16.5">
      <c r="A18" s="378">
        <v>5210100</v>
      </c>
      <c r="B18" s="231"/>
      <c r="C18" s="231">
        <f>463680-57960-57960-57960-57960-57960</f>
        <v>173880</v>
      </c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>
        <f t="shared" si="2"/>
        <v>173880</v>
      </c>
      <c r="S18" s="235" t="s">
        <v>228</v>
      </c>
      <c r="T18" s="313"/>
    </row>
    <row r="19" spans="1:20" ht="16.5">
      <c r="A19" s="378">
        <v>5210200</v>
      </c>
      <c r="B19" s="231"/>
      <c r="C19" s="231">
        <f>80000-10000-10000-10000-10000-10000</f>
        <v>30000</v>
      </c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>
        <f t="shared" si="2"/>
        <v>30000</v>
      </c>
      <c r="S19" s="235" t="s">
        <v>194</v>
      </c>
      <c r="T19" s="313"/>
    </row>
    <row r="20" spans="1:20" ht="16.5">
      <c r="A20" s="378">
        <v>5210300</v>
      </c>
      <c r="B20" s="231"/>
      <c r="C20" s="231">
        <f>80000-10000-10000-10000-10000-10000</f>
        <v>30000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>
        <f t="shared" si="2"/>
        <v>30000</v>
      </c>
      <c r="S20" s="235" t="s">
        <v>195</v>
      </c>
      <c r="T20" s="313"/>
    </row>
    <row r="21" spans="1:20" ht="16.5">
      <c r="A21" s="378">
        <v>5210400</v>
      </c>
      <c r="B21" s="231"/>
      <c r="C21" s="231">
        <f>132480-16560-16560-16560-16560-16560</f>
        <v>49680</v>
      </c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>
        <f t="shared" si="2"/>
        <v>49680</v>
      </c>
      <c r="S21" s="235" t="s">
        <v>196</v>
      </c>
      <c r="T21" s="313"/>
    </row>
    <row r="22" spans="1:20" ht="16.5">
      <c r="A22" s="378">
        <v>5210600</v>
      </c>
      <c r="B22" s="231"/>
      <c r="C22" s="231">
        <f>993600-124200-124200-124200-124200-124200</f>
        <v>372600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>
        <f t="shared" si="2"/>
        <v>372600</v>
      </c>
      <c r="S22" s="235" t="s">
        <v>229</v>
      </c>
      <c r="T22" s="313"/>
    </row>
    <row r="23" spans="1:20" ht="16.5" customHeight="1">
      <c r="A23" s="378">
        <v>5220100</v>
      </c>
      <c r="B23" s="231"/>
      <c r="C23" s="231">
        <f>1808446-326330</f>
        <v>1482116</v>
      </c>
      <c r="D23" s="231">
        <f>1695040-101360-101360-101360-101360-220000-127860-127860-133600-130730-70000</f>
        <v>479550</v>
      </c>
      <c r="E23" s="231"/>
      <c r="F23" s="231"/>
      <c r="G23" s="231"/>
      <c r="H23" s="231"/>
      <c r="I23" s="231"/>
      <c r="J23" s="231">
        <f>1207770-89210-108000-30000-89210-30000-89210-115272-107050-200000</f>
        <v>349818</v>
      </c>
      <c r="K23" s="231"/>
      <c r="L23" s="231"/>
      <c r="M23" s="231">
        <f>3307795.45-189320-189320-189320-189320-110000-250000-50000-189320-189320-50000-198320-193910</f>
        <v>1319645.4500000002</v>
      </c>
      <c r="N23" s="231"/>
      <c r="O23" s="231"/>
      <c r="P23" s="231"/>
      <c r="Q23" s="231"/>
      <c r="R23" s="231">
        <f>SUM(B23:Q23)</f>
        <v>3631129.45</v>
      </c>
      <c r="S23" s="235" t="s">
        <v>193</v>
      </c>
      <c r="T23" s="313"/>
    </row>
    <row r="24" spans="1:20" ht="16.5">
      <c r="A24" s="378">
        <v>5220200</v>
      </c>
      <c r="B24" s="231"/>
      <c r="C24" s="231">
        <f>5780-520-520-520-520-520-520+27000-520-13870</f>
        <v>15270</v>
      </c>
      <c r="D24" s="231">
        <v>27000</v>
      </c>
      <c r="E24" s="231"/>
      <c r="F24" s="231"/>
      <c r="G24" s="231"/>
      <c r="H24" s="231"/>
      <c r="I24" s="231"/>
      <c r="J24" s="231">
        <v>15500</v>
      </c>
      <c r="K24" s="231"/>
      <c r="L24" s="231"/>
      <c r="M24" s="231"/>
      <c r="N24" s="231"/>
      <c r="O24" s="231"/>
      <c r="P24" s="231"/>
      <c r="Q24" s="231"/>
      <c r="R24" s="231">
        <f>SUM(B24:Q24)</f>
        <v>57770</v>
      </c>
      <c r="S24" s="235" t="s">
        <v>198</v>
      </c>
      <c r="T24" s="313"/>
    </row>
    <row r="25" spans="1:20" ht="16.5">
      <c r="A25" s="378">
        <v>5220300</v>
      </c>
      <c r="B25" s="231"/>
      <c r="C25" s="231">
        <f>277500-22500-22500-22500-22500-22500-10000-22500-22500-22500</f>
        <v>87500</v>
      </c>
      <c r="D25" s="231">
        <f>73000-5000-5000-5000-5000-5000-5000-5000-5000</f>
        <v>33000</v>
      </c>
      <c r="E25" s="231"/>
      <c r="F25" s="231"/>
      <c r="G25" s="231"/>
      <c r="H25" s="231"/>
      <c r="I25" s="231"/>
      <c r="J25" s="231">
        <f>73000-5000-5000-5000-5000-5000-5000-5000-5000</f>
        <v>33000</v>
      </c>
      <c r="K25" s="231"/>
      <c r="L25" s="231"/>
      <c r="M25" s="231">
        <v>78000</v>
      </c>
      <c r="N25" s="231"/>
      <c r="O25" s="231"/>
      <c r="P25" s="231"/>
      <c r="Q25" s="231"/>
      <c r="R25" s="231">
        <f>SUM(B25:Q25)</f>
        <v>231500</v>
      </c>
      <c r="S25" s="235" t="s">
        <v>199</v>
      </c>
      <c r="T25" s="313"/>
    </row>
    <row r="26" spans="1:20" ht="16.5">
      <c r="A26" s="378" t="s">
        <v>42</v>
      </c>
      <c r="B26" s="231">
        <v>0</v>
      </c>
      <c r="C26" s="231">
        <f>SUM(C18:C25)</f>
        <v>2241046</v>
      </c>
      <c r="D26" s="231">
        <f t="shared" ref="D26:Q26" si="3">SUM(D18:D25)</f>
        <v>539550</v>
      </c>
      <c r="E26" s="231">
        <f t="shared" si="3"/>
        <v>0</v>
      </c>
      <c r="F26" s="231">
        <f t="shared" si="3"/>
        <v>0</v>
      </c>
      <c r="G26" s="231">
        <f t="shared" si="3"/>
        <v>0</v>
      </c>
      <c r="H26" s="231">
        <f t="shared" si="3"/>
        <v>0</v>
      </c>
      <c r="I26" s="231">
        <f t="shared" si="3"/>
        <v>0</v>
      </c>
      <c r="J26" s="231">
        <f t="shared" si="3"/>
        <v>398318</v>
      </c>
      <c r="K26" s="231">
        <f t="shared" si="3"/>
        <v>0</v>
      </c>
      <c r="L26" s="231">
        <f t="shared" si="3"/>
        <v>0</v>
      </c>
      <c r="M26" s="231">
        <f t="shared" si="3"/>
        <v>1397645.4500000002</v>
      </c>
      <c r="N26" s="231">
        <f t="shared" si="3"/>
        <v>0</v>
      </c>
      <c r="O26" s="231">
        <f t="shared" si="3"/>
        <v>0</v>
      </c>
      <c r="P26" s="231">
        <f t="shared" si="3"/>
        <v>0</v>
      </c>
      <c r="Q26" s="231">
        <f t="shared" si="3"/>
        <v>0</v>
      </c>
      <c r="R26" s="231">
        <f>SUM(B26:Q26)</f>
        <v>4576559.45</v>
      </c>
      <c r="S26" s="235"/>
      <c r="T26" s="314"/>
    </row>
    <row r="27" spans="1:20" ht="16.5">
      <c r="A27" s="355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235"/>
      <c r="T27" s="314"/>
    </row>
    <row r="28" spans="1:20" ht="16.5">
      <c r="A28" s="355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56"/>
      <c r="M28" s="309"/>
      <c r="N28" s="309"/>
      <c r="O28" s="309"/>
      <c r="P28" s="309"/>
      <c r="Q28" s="309"/>
      <c r="R28" s="309"/>
      <c r="S28" s="235"/>
      <c r="T28" s="314"/>
    </row>
    <row r="29" spans="1:20" ht="16.5">
      <c r="A29" s="355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56"/>
      <c r="M29" s="309"/>
      <c r="N29" s="309"/>
      <c r="O29" s="309"/>
      <c r="P29" s="309"/>
      <c r="Q29" s="309"/>
      <c r="R29" s="309"/>
      <c r="S29" s="235"/>
      <c r="T29" s="314"/>
    </row>
    <row r="30" spans="1:20" ht="16.5">
      <c r="A30" s="355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235"/>
      <c r="T30" s="314"/>
    </row>
    <row r="31" spans="1:20" ht="16.5">
      <c r="A31" s="355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235"/>
      <c r="T31" s="314"/>
    </row>
    <row r="32" spans="1:20" ht="18" customHeight="1">
      <c r="A32" s="351" t="s">
        <v>39</v>
      </c>
      <c r="B32" s="337" t="s">
        <v>4</v>
      </c>
      <c r="C32" s="618" t="s">
        <v>104</v>
      </c>
      <c r="D32" s="618"/>
      <c r="E32" s="626" t="s">
        <v>107</v>
      </c>
      <c r="F32" s="627"/>
      <c r="G32" s="338" t="s">
        <v>109</v>
      </c>
      <c r="H32" s="384" t="s">
        <v>111</v>
      </c>
      <c r="I32" s="389" t="s">
        <v>113</v>
      </c>
      <c r="J32" s="623" t="s">
        <v>115</v>
      </c>
      <c r="K32" s="624"/>
      <c r="L32" s="625"/>
      <c r="M32" s="339" t="s">
        <v>117</v>
      </c>
      <c r="N32" s="619" t="s">
        <v>118</v>
      </c>
      <c r="O32" s="620"/>
      <c r="P32" s="340" t="s">
        <v>120</v>
      </c>
      <c r="Q32" s="341" t="s">
        <v>126</v>
      </c>
      <c r="R32" s="621" t="s">
        <v>41</v>
      </c>
      <c r="S32" s="235"/>
      <c r="T32" s="314"/>
    </row>
    <row r="33" spans="1:22" ht="18" customHeight="1">
      <c r="A33" s="352" t="s">
        <v>40</v>
      </c>
      <c r="B33" s="342" t="s">
        <v>4</v>
      </c>
      <c r="C33" s="343" t="s">
        <v>105</v>
      </c>
      <c r="D33" s="167" t="s">
        <v>106</v>
      </c>
      <c r="E33" s="167" t="s">
        <v>105</v>
      </c>
      <c r="F33" s="344" t="s">
        <v>256</v>
      </c>
      <c r="G33" s="387" t="s">
        <v>110</v>
      </c>
      <c r="H33" s="385" t="s">
        <v>112</v>
      </c>
      <c r="I33" s="396" t="s">
        <v>114</v>
      </c>
      <c r="J33" s="345" t="s">
        <v>105</v>
      </c>
      <c r="K33" s="346" t="s">
        <v>116</v>
      </c>
      <c r="L33" s="346" t="s">
        <v>134</v>
      </c>
      <c r="M33" s="347" t="s">
        <v>105</v>
      </c>
      <c r="N33" s="348" t="s">
        <v>119</v>
      </c>
      <c r="O33" s="169" t="s">
        <v>118</v>
      </c>
      <c r="P33" s="349" t="s">
        <v>121</v>
      </c>
      <c r="Q33" s="350" t="s">
        <v>127</v>
      </c>
      <c r="R33" s="622"/>
      <c r="S33" s="235"/>
      <c r="T33" s="314"/>
    </row>
    <row r="34" spans="1:22" ht="16.5">
      <c r="A34" s="379">
        <v>5220500</v>
      </c>
      <c r="B34" s="357"/>
      <c r="C34" s="357">
        <f>231210-18790-18790-18790-18790-18790-18790-19410-19100</f>
        <v>79960</v>
      </c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>
        <f t="shared" ref="R34:R39" si="4">SUM(B34:Q34)</f>
        <v>79960</v>
      </c>
      <c r="S34" s="235" t="s">
        <v>194</v>
      </c>
      <c r="T34" s="313"/>
    </row>
    <row r="35" spans="1:22" ht="16.5">
      <c r="A35" s="378" t="s">
        <v>42</v>
      </c>
      <c r="B35" s="231">
        <v>0</v>
      </c>
      <c r="C35" s="231">
        <f>SUM(C34)</f>
        <v>79960</v>
      </c>
      <c r="D35" s="231">
        <f t="shared" ref="D35:L35" si="5">SUM(D34:D34)</f>
        <v>0</v>
      </c>
      <c r="E35" s="231">
        <f t="shared" si="5"/>
        <v>0</v>
      </c>
      <c r="F35" s="231">
        <f t="shared" si="5"/>
        <v>0</v>
      </c>
      <c r="G35" s="231">
        <f t="shared" si="5"/>
        <v>0</v>
      </c>
      <c r="H35" s="231">
        <f t="shared" si="5"/>
        <v>0</v>
      </c>
      <c r="I35" s="231">
        <f t="shared" si="5"/>
        <v>0</v>
      </c>
      <c r="J35" s="231">
        <f t="shared" si="5"/>
        <v>0</v>
      </c>
      <c r="K35" s="231">
        <f t="shared" si="5"/>
        <v>0</v>
      </c>
      <c r="L35" s="231">
        <f t="shared" si="5"/>
        <v>0</v>
      </c>
      <c r="M35" s="231">
        <f>SUM(M34:M34)</f>
        <v>0</v>
      </c>
      <c r="N35" s="231">
        <f>SUM(N34:N34)</f>
        <v>0</v>
      </c>
      <c r="O35" s="231">
        <f>SUM(O34:O34)</f>
        <v>0</v>
      </c>
      <c r="P35" s="231">
        <f>SUM(P34:P34)</f>
        <v>0</v>
      </c>
      <c r="Q35" s="231">
        <f>SUM(Q34:Q34)</f>
        <v>0</v>
      </c>
      <c r="R35" s="231">
        <f t="shared" si="4"/>
        <v>79960</v>
      </c>
      <c r="S35" s="235"/>
      <c r="T35" s="313"/>
    </row>
    <row r="36" spans="1:22" ht="16.5">
      <c r="A36" s="378">
        <v>5220700</v>
      </c>
      <c r="B36" s="231"/>
      <c r="C36" s="231">
        <f>1200000-184580-92290-92290-92290-92290-92290-92290-92290</f>
        <v>369390</v>
      </c>
      <c r="D36" s="231">
        <f>290000-48260-24130-24130-24130-24130-24130-24130-24130</f>
        <v>72830</v>
      </c>
      <c r="E36" s="231"/>
      <c r="F36" s="231"/>
      <c r="G36" s="231"/>
      <c r="H36" s="231"/>
      <c r="I36" s="231"/>
      <c r="J36" s="231">
        <f>625000-81460-39280-39280-39280-39280-39280-46247-48280-60000-10000-30000</f>
        <v>152613</v>
      </c>
      <c r="K36" s="231"/>
      <c r="L36" s="231"/>
      <c r="M36" s="231">
        <f>282000-48260-24130-24130-24130-24130-24130-24130-24130</f>
        <v>64830</v>
      </c>
      <c r="N36" s="231"/>
      <c r="O36" s="231"/>
      <c r="P36" s="231"/>
      <c r="Q36" s="231"/>
      <c r="R36" s="231">
        <f t="shared" si="4"/>
        <v>659663</v>
      </c>
      <c r="S36" s="235" t="s">
        <v>230</v>
      </c>
      <c r="T36" s="313"/>
    </row>
    <row r="37" spans="1:22" ht="16.5">
      <c r="A37" s="378">
        <v>5220800</v>
      </c>
      <c r="B37" s="231"/>
      <c r="C37" s="231">
        <f>100000-15710-7855-7855-7855-7855-7855-7855-7855</f>
        <v>29305</v>
      </c>
      <c r="D37" s="231">
        <f>30000-4880-2440-2440-2440-2440-2440-2440-2440</f>
        <v>8040</v>
      </c>
      <c r="E37" s="231"/>
      <c r="F37" s="231"/>
      <c r="G37" s="231"/>
      <c r="H37" s="231"/>
      <c r="I37" s="231"/>
      <c r="J37" s="231">
        <f>70000-8330-4005-4005-4005-4005-4005-4779-5005</f>
        <v>31861</v>
      </c>
      <c r="K37" s="231"/>
      <c r="L37" s="231"/>
      <c r="M37" s="231">
        <f>46000-4880-2440-2440-2440-2440-2440-2440-2440</f>
        <v>24040</v>
      </c>
      <c r="N37" s="231"/>
      <c r="O37" s="231"/>
      <c r="P37" s="231"/>
      <c r="Q37" s="231"/>
      <c r="R37" s="231">
        <f t="shared" si="4"/>
        <v>93246</v>
      </c>
      <c r="S37" s="235" t="s">
        <v>198</v>
      </c>
      <c r="T37" s="313"/>
    </row>
    <row r="38" spans="1:22" ht="16.5">
      <c r="A38" s="378" t="s">
        <v>42</v>
      </c>
      <c r="B38" s="231">
        <v>0</v>
      </c>
      <c r="C38" s="231">
        <f>SUM(C36:C37)</f>
        <v>398695</v>
      </c>
      <c r="D38" s="231">
        <f t="shared" ref="D38:Q38" si="6">SUM(D36:D37)</f>
        <v>80870</v>
      </c>
      <c r="E38" s="231">
        <f t="shared" si="6"/>
        <v>0</v>
      </c>
      <c r="F38" s="231">
        <f t="shared" si="6"/>
        <v>0</v>
      </c>
      <c r="G38" s="231">
        <f t="shared" si="6"/>
        <v>0</v>
      </c>
      <c r="H38" s="231">
        <f t="shared" si="6"/>
        <v>0</v>
      </c>
      <c r="I38" s="231">
        <f t="shared" si="6"/>
        <v>0</v>
      </c>
      <c r="J38" s="231">
        <f t="shared" si="6"/>
        <v>184474</v>
      </c>
      <c r="K38" s="231">
        <f t="shared" si="6"/>
        <v>0</v>
      </c>
      <c r="L38" s="231">
        <f t="shared" si="6"/>
        <v>0</v>
      </c>
      <c r="M38" s="231">
        <f t="shared" si="6"/>
        <v>88870</v>
      </c>
      <c r="N38" s="231">
        <f t="shared" si="6"/>
        <v>0</v>
      </c>
      <c r="O38" s="231">
        <f t="shared" si="6"/>
        <v>0</v>
      </c>
      <c r="P38" s="231">
        <f t="shared" si="6"/>
        <v>0</v>
      </c>
      <c r="Q38" s="231">
        <f t="shared" si="6"/>
        <v>0</v>
      </c>
      <c r="R38" s="231">
        <f t="shared" si="4"/>
        <v>752909</v>
      </c>
      <c r="S38" s="235"/>
      <c r="T38" s="314"/>
    </row>
    <row r="39" spans="1:22" ht="16.5">
      <c r="A39" s="378">
        <v>5310100</v>
      </c>
      <c r="B39" s="353"/>
      <c r="C39" s="353">
        <f>30000-1200</f>
        <v>28800</v>
      </c>
      <c r="D39" s="353">
        <v>20000</v>
      </c>
      <c r="E39" s="353"/>
      <c r="F39" s="353"/>
      <c r="G39" s="353"/>
      <c r="H39" s="353"/>
      <c r="I39" s="353"/>
      <c r="J39" s="353">
        <f>30000-3900-2600</f>
        <v>23500</v>
      </c>
      <c r="K39" s="353"/>
      <c r="L39" s="353"/>
      <c r="M39" s="353">
        <v>10000</v>
      </c>
      <c r="N39" s="353"/>
      <c r="O39" s="353"/>
      <c r="P39" s="353"/>
      <c r="Q39" s="358"/>
      <c r="R39" s="359">
        <f t="shared" si="4"/>
        <v>82300</v>
      </c>
      <c r="S39" s="235" t="s">
        <v>202</v>
      </c>
      <c r="T39" s="313"/>
    </row>
    <row r="40" spans="1:22" ht="16.5">
      <c r="A40" s="378">
        <v>5310300</v>
      </c>
      <c r="B40" s="353"/>
      <c r="C40" s="353">
        <f>20000</f>
        <v>20000</v>
      </c>
      <c r="D40" s="353">
        <f>10000</f>
        <v>10000</v>
      </c>
      <c r="E40" s="353"/>
      <c r="F40" s="353"/>
      <c r="G40" s="353"/>
      <c r="H40" s="353"/>
      <c r="I40" s="353"/>
      <c r="J40" s="353">
        <f>20000-11760+30000-23520+30000-11760-15120+10000</f>
        <v>27840</v>
      </c>
      <c r="K40" s="353"/>
      <c r="L40" s="353"/>
      <c r="M40" s="353">
        <v>10000</v>
      </c>
      <c r="N40" s="353"/>
      <c r="O40" s="353"/>
      <c r="P40" s="353"/>
      <c r="Q40" s="358"/>
      <c r="R40" s="359">
        <f>SUM(B40:P40)</f>
        <v>67840</v>
      </c>
      <c r="S40" s="235" t="s">
        <v>218</v>
      </c>
      <c r="T40" s="313"/>
    </row>
    <row r="41" spans="1:22" ht="16.5">
      <c r="A41" s="378">
        <v>5310400</v>
      </c>
      <c r="B41" s="353"/>
      <c r="C41" s="353">
        <f>38500-3500-3500-3500-3500-3500-3500+25000-3500-10500</f>
        <v>28500</v>
      </c>
      <c r="D41" s="353">
        <f>69000-3000-3000-3000-3000-3000-3000-3000-3000</f>
        <v>45000</v>
      </c>
      <c r="E41" s="353"/>
      <c r="F41" s="353"/>
      <c r="G41" s="353"/>
      <c r="H41" s="353"/>
      <c r="I41" s="353"/>
      <c r="J41" s="353">
        <v>36000</v>
      </c>
      <c r="K41" s="353"/>
      <c r="L41" s="353"/>
      <c r="M41" s="353"/>
      <c r="N41" s="353"/>
      <c r="O41" s="353"/>
      <c r="P41" s="353"/>
      <c r="Q41" s="358"/>
      <c r="R41" s="359">
        <f>SUM(B41:Q41)</f>
        <v>109500</v>
      </c>
      <c r="S41" s="235" t="s">
        <v>203</v>
      </c>
      <c r="T41" s="313"/>
    </row>
    <row r="42" spans="1:22" ht="16.5">
      <c r="A42" s="378">
        <v>5310500</v>
      </c>
      <c r="B42" s="353"/>
      <c r="C42" s="353">
        <f>80000-1150-25000-9000-3920</f>
        <v>40930</v>
      </c>
      <c r="D42" s="353">
        <f>40000-1000</f>
        <v>39000</v>
      </c>
      <c r="E42" s="353"/>
      <c r="F42" s="353"/>
      <c r="G42" s="353"/>
      <c r="H42" s="353"/>
      <c r="I42" s="353"/>
      <c r="J42" s="353">
        <v>10000</v>
      </c>
      <c r="K42" s="353"/>
      <c r="L42" s="353"/>
      <c r="M42" s="353">
        <f>86728.25-1150</f>
        <v>85578.25</v>
      </c>
      <c r="N42" s="353"/>
      <c r="O42" s="353"/>
      <c r="P42" s="353"/>
      <c r="Q42" s="358"/>
      <c r="R42" s="359">
        <f>SUM(B42:P42)</f>
        <v>175508.25</v>
      </c>
      <c r="S42" s="235" t="s">
        <v>255</v>
      </c>
      <c r="T42" s="313"/>
    </row>
    <row r="43" spans="1:22" ht="16.5">
      <c r="A43" s="378" t="s">
        <v>42</v>
      </c>
      <c r="B43" s="353">
        <v>0</v>
      </c>
      <c r="C43" s="231">
        <f>SUM(C39:C42)</f>
        <v>118230</v>
      </c>
      <c r="D43" s="231">
        <f t="shared" ref="D43:Q43" si="7">SUM(D39:D42)</f>
        <v>114000</v>
      </c>
      <c r="E43" s="231">
        <f t="shared" si="7"/>
        <v>0</v>
      </c>
      <c r="F43" s="231">
        <f t="shared" si="7"/>
        <v>0</v>
      </c>
      <c r="G43" s="231">
        <f t="shared" si="7"/>
        <v>0</v>
      </c>
      <c r="H43" s="231">
        <f t="shared" si="7"/>
        <v>0</v>
      </c>
      <c r="I43" s="231">
        <f t="shared" si="7"/>
        <v>0</v>
      </c>
      <c r="J43" s="231">
        <f t="shared" si="7"/>
        <v>97340</v>
      </c>
      <c r="K43" s="231">
        <f t="shared" si="7"/>
        <v>0</v>
      </c>
      <c r="L43" s="231">
        <f t="shared" si="7"/>
        <v>0</v>
      </c>
      <c r="M43" s="231">
        <f t="shared" si="7"/>
        <v>105578.25</v>
      </c>
      <c r="N43" s="231">
        <f t="shared" si="7"/>
        <v>0</v>
      </c>
      <c r="O43" s="231">
        <f t="shared" si="7"/>
        <v>0</v>
      </c>
      <c r="P43" s="231">
        <f t="shared" si="7"/>
        <v>0</v>
      </c>
      <c r="Q43" s="231">
        <f t="shared" si="7"/>
        <v>0</v>
      </c>
      <c r="R43" s="231">
        <f t="shared" ref="R43:R48" si="8">SUM(B43:Q43)</f>
        <v>435148.25</v>
      </c>
      <c r="S43" s="437"/>
      <c r="T43" s="314"/>
    </row>
    <row r="44" spans="1:22" ht="16.5">
      <c r="A44" s="378">
        <v>5320100</v>
      </c>
      <c r="B44" s="360"/>
      <c r="C44" s="353">
        <f>694780-85140-21516-18412-24184-24970-24384.8-32093.21-20000-100000-15938</f>
        <v>328141.99</v>
      </c>
      <c r="D44" s="353">
        <f>200000-19021-9503-8064-9169-10196.08-10229.92-13297</f>
        <v>120520</v>
      </c>
      <c r="E44" s="353">
        <f>50000-4520-321</f>
        <v>45159</v>
      </c>
      <c r="F44" s="353"/>
      <c r="G44" s="353">
        <f>30000-16880.3-10000</f>
        <v>3119.7000000000007</v>
      </c>
      <c r="H44" s="353"/>
      <c r="I44" s="353"/>
      <c r="J44" s="353"/>
      <c r="K44" s="353">
        <f>189100-19488-18000-18000-18000+100000+108000-18000-35000-88400+100000-18000+50000</f>
        <v>314212</v>
      </c>
      <c r="L44" s="354">
        <v>10000</v>
      </c>
      <c r="M44" s="353">
        <f>698800-34836-36000-45000-45000-47032-36000-34800-40645</f>
        <v>379487</v>
      </c>
      <c r="N44" s="353"/>
      <c r="O44" s="353"/>
      <c r="P44" s="353">
        <f>100000-3000-3000-3000-12800+50000-3000-3000-3000-3000</f>
        <v>116200</v>
      </c>
      <c r="Q44" s="353"/>
      <c r="R44" s="231">
        <f t="shared" si="8"/>
        <v>1316839.69</v>
      </c>
      <c r="S44" s="235" t="s">
        <v>231</v>
      </c>
      <c r="T44" s="313"/>
    </row>
    <row r="45" spans="1:22" ht="16.5">
      <c r="A45" s="378">
        <v>5320200</v>
      </c>
      <c r="B45" s="353"/>
      <c r="C45" s="353">
        <f>30000-875-9886-2500-980-877-2010</f>
        <v>12872</v>
      </c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4"/>
      <c r="O45" s="353"/>
      <c r="P45" s="353"/>
      <c r="Q45" s="353"/>
      <c r="R45" s="231">
        <f t="shared" si="8"/>
        <v>12872</v>
      </c>
      <c r="S45" s="235" t="s">
        <v>232</v>
      </c>
      <c r="T45" s="313"/>
    </row>
    <row r="46" spans="1:22" ht="16.5">
      <c r="A46" s="378">
        <v>5320400</v>
      </c>
      <c r="B46" s="353"/>
      <c r="C46" s="353">
        <f>50000-16500-4048.35-1300-5768.38-3210-11167-1080</f>
        <v>6926.27</v>
      </c>
      <c r="D46" s="353">
        <f>9000-800-2500-500</f>
        <v>5200</v>
      </c>
      <c r="E46" s="353">
        <f>150000-14975-100000</f>
        <v>35025</v>
      </c>
      <c r="F46" s="353">
        <f>50000-8400-15160</f>
        <v>26440</v>
      </c>
      <c r="G46" s="353">
        <f>50000-4500-29044.52-6000-6600+18000</f>
        <v>21855.48</v>
      </c>
      <c r="H46" s="354"/>
      <c r="I46" s="353"/>
      <c r="J46" s="353"/>
      <c r="K46" s="353">
        <f>200000-12200-11425.67+100000-13800-3317</f>
        <v>259257.32999999996</v>
      </c>
      <c r="L46" s="353">
        <f>80000-4380-1500-25130</f>
        <v>48990</v>
      </c>
      <c r="M46" s="354">
        <f>50000-1000-500-16900</f>
        <v>31600</v>
      </c>
      <c r="N46" s="353"/>
      <c r="O46" s="353"/>
      <c r="P46" s="353">
        <f>100000-65000</f>
        <v>35000</v>
      </c>
      <c r="Q46" s="353"/>
      <c r="R46" s="231">
        <f t="shared" si="8"/>
        <v>470294.07999999996</v>
      </c>
      <c r="S46" s="235" t="s">
        <v>204</v>
      </c>
      <c r="T46" s="313"/>
    </row>
    <row r="47" spans="1:22" ht="16.5">
      <c r="A47" s="378">
        <v>5320300</v>
      </c>
      <c r="B47" s="353"/>
      <c r="C47" s="353">
        <f>564400-1120-22218+10000-30000+30000-25000+25000-5000+5000+79700+30000-29014.71-100000-21848-80000-73020+100000</f>
        <v>456879.29000000004</v>
      </c>
      <c r="D47" s="353">
        <f>35270-28000+50000</f>
        <v>57270</v>
      </c>
      <c r="E47" s="353">
        <f>50000-17201</f>
        <v>32799</v>
      </c>
      <c r="F47" s="353">
        <f>415000-56720-9750-4585</f>
        <v>343945</v>
      </c>
      <c r="G47" s="353">
        <f>550000-48400-48000-48300+70000-48400-47400+50000+30000-48850-48000-48400</f>
        <v>314250</v>
      </c>
      <c r="H47" s="353">
        <f>40000-10000</f>
        <v>30000</v>
      </c>
      <c r="I47" s="353">
        <f>334700-450-28004-18220-32840-79700-15000-10000-49370-18500</f>
        <v>82616</v>
      </c>
      <c r="J47" s="353">
        <f>30000-5320</f>
        <v>24680</v>
      </c>
      <c r="K47" s="353"/>
      <c r="L47" s="353">
        <f>545164-43000-63000-44800-101200-47100+10000+30000-43000</f>
        <v>243064</v>
      </c>
      <c r="M47" s="354">
        <f>2308000-783000-74012-51582-366069-12200-9800-24832</f>
        <v>986505</v>
      </c>
      <c r="N47" s="353">
        <f>345000-76053-197475-15000</f>
        <v>56472</v>
      </c>
      <c r="O47" s="353">
        <f>105000-4960-4550</f>
        <v>95490</v>
      </c>
      <c r="P47" s="353"/>
      <c r="Q47" s="353">
        <v>75000</v>
      </c>
      <c r="R47" s="231">
        <f t="shared" si="8"/>
        <v>2798970.29</v>
      </c>
      <c r="S47" s="235" t="s">
        <v>206</v>
      </c>
      <c r="T47" s="313"/>
    </row>
    <row r="48" spans="1:22" ht="16.5">
      <c r="A48" s="378" t="s">
        <v>42</v>
      </c>
      <c r="B48" s="353">
        <v>0</v>
      </c>
      <c r="C48" s="231">
        <f>SUM(C44:C47)</f>
        <v>804819.55</v>
      </c>
      <c r="D48" s="231">
        <f t="shared" ref="D48:Q48" si="9">SUM(D44:D47)</f>
        <v>182990</v>
      </c>
      <c r="E48" s="231">
        <f t="shared" si="9"/>
        <v>112983</v>
      </c>
      <c r="F48" s="231">
        <f t="shared" si="9"/>
        <v>370385</v>
      </c>
      <c r="G48" s="231">
        <f t="shared" si="9"/>
        <v>339225.18</v>
      </c>
      <c r="H48" s="231">
        <f t="shared" si="9"/>
        <v>30000</v>
      </c>
      <c r="I48" s="231">
        <f t="shared" si="9"/>
        <v>82616</v>
      </c>
      <c r="J48" s="231">
        <f t="shared" si="9"/>
        <v>24680</v>
      </c>
      <c r="K48" s="231">
        <f t="shared" si="9"/>
        <v>573469.32999999996</v>
      </c>
      <c r="L48" s="231">
        <f t="shared" si="9"/>
        <v>302054</v>
      </c>
      <c r="M48" s="231">
        <f t="shared" si="9"/>
        <v>1397592</v>
      </c>
      <c r="N48" s="231">
        <f t="shared" si="9"/>
        <v>56472</v>
      </c>
      <c r="O48" s="231">
        <f t="shared" si="9"/>
        <v>95490</v>
      </c>
      <c r="P48" s="231">
        <f t="shared" si="9"/>
        <v>151200</v>
      </c>
      <c r="Q48" s="231">
        <f t="shared" si="9"/>
        <v>75000</v>
      </c>
      <c r="R48" s="231">
        <f t="shared" si="8"/>
        <v>4598976.0600000005</v>
      </c>
      <c r="S48" s="437"/>
      <c r="T48" s="235"/>
      <c r="V48" s="221"/>
    </row>
    <row r="49" spans="1:20" ht="16.5">
      <c r="A49" s="355"/>
      <c r="B49" s="361"/>
      <c r="C49" s="309"/>
      <c r="D49" s="361"/>
      <c r="E49" s="361"/>
      <c r="F49" s="361"/>
      <c r="G49" s="361"/>
      <c r="H49" s="361"/>
      <c r="I49" s="361"/>
      <c r="J49" s="361"/>
      <c r="K49" s="361"/>
      <c r="L49" s="356"/>
      <c r="M49" s="356"/>
      <c r="N49" s="361"/>
      <c r="O49" s="361"/>
      <c r="P49" s="361"/>
      <c r="Q49" s="361"/>
      <c r="R49" s="309"/>
      <c r="S49" s="235"/>
      <c r="T49" s="313"/>
    </row>
    <row r="50" spans="1:20" ht="16.5">
      <c r="A50" s="355"/>
      <c r="B50" s="361"/>
      <c r="C50" s="309"/>
      <c r="D50" s="361"/>
      <c r="E50" s="361"/>
      <c r="F50" s="361"/>
      <c r="G50" s="361"/>
      <c r="H50" s="361"/>
      <c r="I50" s="361"/>
      <c r="J50" s="361"/>
      <c r="K50" s="361"/>
      <c r="L50" s="356"/>
      <c r="M50" s="416"/>
      <c r="N50" s="361"/>
      <c r="O50" s="361"/>
      <c r="P50" s="361"/>
      <c r="Q50" s="361"/>
      <c r="R50" s="309"/>
      <c r="S50" s="235"/>
      <c r="T50" s="313"/>
    </row>
    <row r="51" spans="1:20" ht="16.5">
      <c r="A51" s="355"/>
      <c r="B51" s="361"/>
      <c r="C51" s="309"/>
      <c r="D51" s="361"/>
      <c r="E51" s="361"/>
      <c r="F51" s="361"/>
      <c r="G51" s="361"/>
      <c r="H51" s="361"/>
      <c r="I51" s="361"/>
      <c r="J51" s="361"/>
      <c r="K51" s="361"/>
      <c r="L51" s="356"/>
      <c r="M51" s="356"/>
      <c r="N51" s="361"/>
      <c r="O51" s="361"/>
      <c r="P51" s="361"/>
      <c r="Q51" s="361"/>
      <c r="R51" s="309"/>
      <c r="S51" s="235"/>
      <c r="T51" s="313"/>
    </row>
    <row r="52" spans="1:20" ht="16.5">
      <c r="A52" s="355"/>
      <c r="B52" s="361"/>
      <c r="C52" s="309"/>
      <c r="D52" s="361"/>
      <c r="E52" s="361"/>
      <c r="F52" s="361"/>
      <c r="G52" s="361"/>
      <c r="H52" s="361"/>
      <c r="I52" s="361"/>
      <c r="J52" s="361"/>
      <c r="K52" s="361"/>
      <c r="L52" s="356"/>
      <c r="M52" s="356"/>
      <c r="N52" s="361"/>
      <c r="O52" s="361"/>
      <c r="P52" s="361"/>
      <c r="Q52" s="361"/>
      <c r="R52" s="309"/>
      <c r="S52" s="235"/>
      <c r="T52" s="313"/>
    </row>
    <row r="53" spans="1:20" ht="16.5">
      <c r="A53" s="355"/>
      <c r="B53" s="361"/>
      <c r="C53" s="309"/>
      <c r="D53" s="361"/>
      <c r="E53" s="361"/>
      <c r="F53" s="361"/>
      <c r="G53" s="361"/>
      <c r="H53" s="361"/>
      <c r="I53" s="361"/>
      <c r="J53" s="361"/>
      <c r="K53" s="361"/>
      <c r="L53" s="356"/>
      <c r="M53" s="356"/>
      <c r="N53" s="361"/>
      <c r="O53" s="361"/>
      <c r="P53" s="361"/>
      <c r="Q53" s="361"/>
      <c r="R53" s="309"/>
      <c r="S53" s="235"/>
      <c r="T53" s="313"/>
    </row>
    <row r="54" spans="1:20" ht="16.5">
      <c r="A54" s="355"/>
      <c r="B54" s="361"/>
      <c r="C54" s="309"/>
      <c r="D54" s="361"/>
      <c r="E54" s="361"/>
      <c r="F54" s="361"/>
      <c r="G54" s="361"/>
      <c r="H54" s="361"/>
      <c r="I54" s="361"/>
      <c r="J54" s="361"/>
      <c r="K54" s="361"/>
      <c r="L54" s="356"/>
      <c r="M54" s="356"/>
      <c r="N54" s="361"/>
      <c r="O54" s="361"/>
      <c r="P54" s="361"/>
      <c r="Q54" s="361"/>
      <c r="R54" s="309"/>
      <c r="S54" s="235"/>
      <c r="T54" s="313"/>
    </row>
    <row r="55" spans="1:20" ht="16.5">
      <c r="A55" s="355"/>
      <c r="B55" s="361"/>
      <c r="C55" s="309"/>
      <c r="D55" s="361"/>
      <c r="E55" s="361"/>
      <c r="F55" s="361"/>
      <c r="G55" s="361"/>
      <c r="H55" s="361"/>
      <c r="I55" s="361"/>
      <c r="J55" s="361"/>
      <c r="K55" s="361"/>
      <c r="L55" s="356"/>
      <c r="M55" s="356"/>
      <c r="N55" s="361"/>
      <c r="O55" s="361"/>
      <c r="P55" s="361"/>
      <c r="Q55" s="361"/>
      <c r="R55" s="309"/>
      <c r="S55" s="235"/>
      <c r="T55" s="313"/>
    </row>
    <row r="56" spans="1:20" ht="16.5">
      <c r="A56" s="355"/>
      <c r="B56" s="361"/>
      <c r="C56" s="309"/>
      <c r="D56" s="361"/>
      <c r="E56" s="361"/>
      <c r="F56" s="361"/>
      <c r="G56" s="361"/>
      <c r="H56" s="361"/>
      <c r="I56" s="361"/>
      <c r="J56" s="361"/>
      <c r="K56" s="361"/>
      <c r="L56" s="356"/>
      <c r="M56" s="356"/>
      <c r="N56" s="361"/>
      <c r="O56" s="361"/>
      <c r="P56" s="361"/>
      <c r="Q56" s="361"/>
      <c r="R56" s="309"/>
      <c r="S56" s="235"/>
      <c r="T56" s="313"/>
    </row>
    <row r="57" spans="1:20" ht="16.5">
      <c r="A57" s="355"/>
      <c r="B57" s="361"/>
      <c r="C57" s="309"/>
      <c r="D57" s="361"/>
      <c r="E57" s="361"/>
      <c r="F57" s="361"/>
      <c r="G57" s="361"/>
      <c r="H57" s="361"/>
      <c r="I57" s="361"/>
      <c r="J57" s="361"/>
      <c r="K57" s="361"/>
      <c r="L57" s="356"/>
      <c r="M57" s="356"/>
      <c r="N57" s="361"/>
      <c r="O57" s="361"/>
      <c r="P57" s="361"/>
      <c r="Q57" s="361"/>
      <c r="R57" s="309"/>
      <c r="S57" s="235"/>
      <c r="T57" s="313"/>
    </row>
    <row r="58" spans="1:20" ht="16.5">
      <c r="A58" s="355"/>
      <c r="B58" s="361"/>
      <c r="C58" s="309"/>
      <c r="D58" s="361"/>
      <c r="E58" s="361"/>
      <c r="F58" s="361"/>
      <c r="G58" s="361"/>
      <c r="H58" s="361"/>
      <c r="I58" s="361"/>
      <c r="J58" s="361"/>
      <c r="K58" s="361"/>
      <c r="L58" s="356"/>
      <c r="M58" s="356"/>
      <c r="N58" s="361"/>
      <c r="O58" s="361"/>
      <c r="P58" s="361"/>
      <c r="Q58" s="361"/>
      <c r="R58" s="309"/>
      <c r="S58" s="235"/>
      <c r="T58" s="313"/>
    </row>
    <row r="59" spans="1:20" ht="16.5">
      <c r="A59" s="355"/>
      <c r="B59" s="361"/>
      <c r="C59" s="309"/>
      <c r="D59" s="361"/>
      <c r="E59" s="361"/>
      <c r="F59" s="361"/>
      <c r="G59" s="361"/>
      <c r="H59" s="361"/>
      <c r="I59" s="361"/>
      <c r="J59" s="361"/>
      <c r="K59" s="361"/>
      <c r="L59" s="356"/>
      <c r="M59" s="356"/>
      <c r="N59" s="361"/>
      <c r="O59" s="361"/>
      <c r="P59" s="361"/>
      <c r="Q59" s="361"/>
      <c r="R59" s="309"/>
      <c r="S59" s="235"/>
      <c r="T59" s="313"/>
    </row>
    <row r="60" spans="1:20" ht="16.5">
      <c r="A60" s="355"/>
      <c r="B60" s="361"/>
      <c r="C60" s="309"/>
      <c r="D60" s="361"/>
      <c r="E60" s="361"/>
      <c r="F60" s="361"/>
      <c r="G60" s="361"/>
      <c r="H60" s="361"/>
      <c r="I60" s="361"/>
      <c r="J60" s="361"/>
      <c r="K60" s="361"/>
      <c r="L60" s="356"/>
      <c r="M60" s="356"/>
      <c r="N60" s="361"/>
      <c r="O60" s="361"/>
      <c r="P60" s="361"/>
      <c r="Q60" s="361"/>
      <c r="R60" s="309"/>
      <c r="S60" s="235"/>
      <c r="T60" s="313"/>
    </row>
    <row r="61" spans="1:20" ht="16.5">
      <c r="A61" s="355"/>
      <c r="B61" s="361"/>
      <c r="C61" s="309"/>
      <c r="D61" s="361"/>
      <c r="E61" s="361"/>
      <c r="F61" s="361"/>
      <c r="G61" s="361"/>
      <c r="H61" s="361"/>
      <c r="I61" s="361"/>
      <c r="J61" s="361"/>
      <c r="K61" s="361"/>
      <c r="L61" s="356"/>
      <c r="M61" s="356"/>
      <c r="N61" s="361"/>
      <c r="O61" s="361"/>
      <c r="P61" s="361"/>
      <c r="Q61" s="361"/>
      <c r="R61" s="309"/>
      <c r="S61" s="235"/>
      <c r="T61" s="313"/>
    </row>
    <row r="62" spans="1:20" ht="18" customHeight="1">
      <c r="A62" s="351" t="s">
        <v>39</v>
      </c>
      <c r="B62" s="337" t="s">
        <v>4</v>
      </c>
      <c r="C62" s="618" t="s">
        <v>104</v>
      </c>
      <c r="D62" s="618"/>
      <c r="E62" s="626" t="s">
        <v>107</v>
      </c>
      <c r="F62" s="627"/>
      <c r="G62" s="386" t="s">
        <v>109</v>
      </c>
      <c r="H62" s="384" t="s">
        <v>111</v>
      </c>
      <c r="I62" s="389" t="s">
        <v>113</v>
      </c>
      <c r="J62" s="623" t="s">
        <v>115</v>
      </c>
      <c r="K62" s="624"/>
      <c r="L62" s="625"/>
      <c r="M62" s="339" t="s">
        <v>117</v>
      </c>
      <c r="N62" s="619" t="s">
        <v>118</v>
      </c>
      <c r="O62" s="620"/>
      <c r="P62" s="340" t="s">
        <v>120</v>
      </c>
      <c r="Q62" s="341" t="s">
        <v>126</v>
      </c>
      <c r="R62" s="621" t="s">
        <v>41</v>
      </c>
      <c r="S62" s="235"/>
      <c r="T62" s="313"/>
    </row>
    <row r="63" spans="1:20" ht="18" customHeight="1">
      <c r="A63" s="352" t="s">
        <v>40</v>
      </c>
      <c r="B63" s="342" t="s">
        <v>4</v>
      </c>
      <c r="C63" s="343" t="s">
        <v>105</v>
      </c>
      <c r="D63" s="167" t="s">
        <v>106</v>
      </c>
      <c r="E63" s="167" t="s">
        <v>105</v>
      </c>
      <c r="F63" s="344" t="s">
        <v>256</v>
      </c>
      <c r="G63" s="387" t="s">
        <v>110</v>
      </c>
      <c r="H63" s="385" t="s">
        <v>112</v>
      </c>
      <c r="I63" s="396" t="s">
        <v>114</v>
      </c>
      <c r="J63" s="345" t="s">
        <v>105</v>
      </c>
      <c r="K63" s="346" t="s">
        <v>116</v>
      </c>
      <c r="L63" s="346" t="s">
        <v>134</v>
      </c>
      <c r="M63" s="347" t="s">
        <v>105</v>
      </c>
      <c r="N63" s="348" t="s">
        <v>119</v>
      </c>
      <c r="O63" s="169" t="s">
        <v>118</v>
      </c>
      <c r="P63" s="349" t="s">
        <v>121</v>
      </c>
      <c r="Q63" s="350" t="s">
        <v>127</v>
      </c>
      <c r="R63" s="622"/>
      <c r="S63" s="235"/>
      <c r="T63" s="313"/>
    </row>
    <row r="64" spans="1:20" ht="16.5">
      <c r="A64" s="379">
        <v>5330400</v>
      </c>
      <c r="B64" s="362"/>
      <c r="C64" s="363"/>
      <c r="D64" s="308"/>
      <c r="E64" s="308"/>
      <c r="F64" s="364"/>
      <c r="G64" s="365"/>
      <c r="H64" s="366"/>
      <c r="I64" s="367"/>
      <c r="J64" s="368"/>
      <c r="K64" s="369"/>
      <c r="L64" s="369"/>
      <c r="M64" s="446">
        <f>1525500-110596.64-95515.28-100542.4-100542.4-294534.28-53416.44</f>
        <v>770352.56000000029</v>
      </c>
      <c r="N64" s="371"/>
      <c r="O64" s="364"/>
      <c r="P64" s="370"/>
      <c r="Q64" s="350"/>
      <c r="R64" s="372">
        <f t="shared" ref="R64:R85" si="10">SUM(B64:Q64)</f>
        <v>770352.56000000029</v>
      </c>
      <c r="S64" s="235" t="s">
        <v>233</v>
      </c>
      <c r="T64" s="313"/>
    </row>
    <row r="65" spans="1:20" ht="16.5">
      <c r="A65" s="379">
        <v>5332000</v>
      </c>
      <c r="B65" s="362"/>
      <c r="C65" s="363"/>
      <c r="D65" s="308"/>
      <c r="E65" s="308"/>
      <c r="F65" s="364"/>
      <c r="G65" s="365"/>
      <c r="H65" s="366"/>
      <c r="I65" s="367"/>
      <c r="J65" s="368"/>
      <c r="K65" s="369"/>
      <c r="L65" s="369"/>
      <c r="M65" s="370"/>
      <c r="N65" s="371"/>
      <c r="O65" s="364"/>
      <c r="P65" s="370">
        <f>20000-7900</f>
        <v>12100</v>
      </c>
      <c r="Q65" s="350"/>
      <c r="R65" s="372">
        <f t="shared" si="10"/>
        <v>12100</v>
      </c>
      <c r="S65" s="235" t="s">
        <v>234</v>
      </c>
      <c r="T65" s="313"/>
    </row>
    <row r="66" spans="1:20" ht="16.5">
      <c r="A66" s="379">
        <v>5331400</v>
      </c>
      <c r="B66" s="370"/>
      <c r="C66" s="370">
        <f>80000-33320</f>
        <v>46680</v>
      </c>
      <c r="D66" s="370">
        <f>40000-30260+20000</f>
        <v>29740</v>
      </c>
      <c r="E66" s="370"/>
      <c r="F66" s="370"/>
      <c r="G66" s="370"/>
      <c r="H66" s="370"/>
      <c r="I66" s="370"/>
      <c r="J66" s="370">
        <f>30000-24010</f>
        <v>5990</v>
      </c>
      <c r="K66" s="370"/>
      <c r="L66" s="373"/>
      <c r="M66" s="446">
        <f>73760-600-22680</f>
        <v>50480</v>
      </c>
      <c r="N66" s="370"/>
      <c r="O66" s="370"/>
      <c r="P66" s="370"/>
      <c r="Q66" s="370"/>
      <c r="R66" s="359">
        <f t="shared" si="10"/>
        <v>132890</v>
      </c>
      <c r="S66" s="235" t="s">
        <v>217</v>
      </c>
      <c r="T66" s="313"/>
    </row>
    <row r="67" spans="1:20" ht="16.5">
      <c r="A67" s="378">
        <v>5330100</v>
      </c>
      <c r="B67" s="320"/>
      <c r="C67" s="445">
        <f>100000-480-500-490-490-16900-6115-850-590</f>
        <v>73585</v>
      </c>
      <c r="D67" s="320">
        <f>30000-4620</f>
        <v>25380</v>
      </c>
      <c r="E67" s="320"/>
      <c r="F67" s="320">
        <v>10000</v>
      </c>
      <c r="G67" s="320"/>
      <c r="H67" s="320"/>
      <c r="I67" s="320"/>
      <c r="J67" s="320">
        <v>30000</v>
      </c>
      <c r="K67" s="320"/>
      <c r="L67" s="320"/>
      <c r="M67" s="320">
        <f>50456-4401</f>
        <v>46055</v>
      </c>
      <c r="N67" s="320"/>
      <c r="O67" s="320"/>
      <c r="P67" s="320"/>
      <c r="Q67" s="370"/>
      <c r="R67" s="359">
        <f t="shared" si="10"/>
        <v>185020</v>
      </c>
      <c r="S67" s="235" t="s">
        <v>207</v>
      </c>
      <c r="T67" s="313"/>
    </row>
    <row r="68" spans="1:20" ht="16.5">
      <c r="A68" s="378">
        <v>5330200</v>
      </c>
      <c r="B68" s="320"/>
      <c r="C68" s="445">
        <f>10000-3180+7000-5565-990</f>
        <v>7265</v>
      </c>
      <c r="D68" s="320"/>
      <c r="E68" s="320"/>
      <c r="F68" s="320"/>
      <c r="G68" s="320"/>
      <c r="H68" s="320"/>
      <c r="I68" s="320"/>
      <c r="J68" s="320"/>
      <c r="K68" s="374">
        <f>100000-15100-50000</f>
        <v>34900</v>
      </c>
      <c r="L68" s="320"/>
      <c r="M68" s="320">
        <f>64200-22950</f>
        <v>41250</v>
      </c>
      <c r="N68" s="320"/>
      <c r="O68" s="320"/>
      <c r="P68" s="320"/>
      <c r="Q68" s="370"/>
      <c r="R68" s="359">
        <f t="shared" si="10"/>
        <v>83415</v>
      </c>
      <c r="S68" s="235" t="s">
        <v>208</v>
      </c>
      <c r="T68" s="313"/>
    </row>
    <row r="69" spans="1:20" ht="16.5">
      <c r="A69" s="378">
        <v>5330300</v>
      </c>
      <c r="B69" s="320"/>
      <c r="C69" s="320">
        <v>30000</v>
      </c>
      <c r="D69" s="320"/>
      <c r="E69" s="320"/>
      <c r="F69" s="320"/>
      <c r="G69" s="320"/>
      <c r="H69" s="320"/>
      <c r="I69" s="320"/>
      <c r="J69" s="320"/>
      <c r="K69" s="374"/>
      <c r="L69" s="374">
        <f>30000-30000</f>
        <v>0</v>
      </c>
      <c r="M69" s="320">
        <f>30000-29920</f>
        <v>80</v>
      </c>
      <c r="N69" s="320"/>
      <c r="O69" s="320"/>
      <c r="P69" s="320"/>
      <c r="Q69" s="320"/>
      <c r="R69" s="375">
        <f t="shared" si="10"/>
        <v>30080</v>
      </c>
      <c r="S69" s="235" t="s">
        <v>235</v>
      </c>
      <c r="T69" s="313"/>
    </row>
    <row r="70" spans="1:20" ht="16.5">
      <c r="A70" s="379">
        <v>5330600</v>
      </c>
      <c r="B70" s="370"/>
      <c r="C70" s="370">
        <f>12765-2165</f>
        <v>10600</v>
      </c>
      <c r="D70" s="370"/>
      <c r="E70" s="370"/>
      <c r="F70" s="370">
        <f>80000-1000</f>
        <v>79000</v>
      </c>
      <c r="G70" s="370"/>
      <c r="H70" s="370"/>
      <c r="I70" s="370"/>
      <c r="J70" s="370"/>
      <c r="K70" s="370">
        <f>242002+430000-13200-105050+100000+50000-457500+80000+20000-84300+200000+10000</f>
        <v>471952</v>
      </c>
      <c r="L70" s="370"/>
      <c r="M70" s="370">
        <f>90000-12469.5</f>
        <v>77530.5</v>
      </c>
      <c r="N70" s="370"/>
      <c r="O70" s="370"/>
      <c r="P70" s="370">
        <f>100000-18955-10300+50000-3380-3260-3690</f>
        <v>110415</v>
      </c>
      <c r="Q70" s="370"/>
      <c r="R70" s="359">
        <f t="shared" si="10"/>
        <v>749497.5</v>
      </c>
      <c r="S70" s="235" t="s">
        <v>209</v>
      </c>
      <c r="T70" s="313"/>
    </row>
    <row r="71" spans="1:20" ht="16.5">
      <c r="A71" s="378">
        <v>5330700</v>
      </c>
      <c r="B71" s="320"/>
      <c r="C71" s="320">
        <v>25000</v>
      </c>
      <c r="D71" s="320"/>
      <c r="E71" s="320"/>
      <c r="F71" s="320">
        <v>35000</v>
      </c>
      <c r="G71" s="320">
        <f>30000-15200</f>
        <v>14800</v>
      </c>
      <c r="H71" s="320"/>
      <c r="I71" s="320"/>
      <c r="J71" s="320"/>
      <c r="K71" s="374">
        <f>30000+70000-80200</f>
        <v>19800</v>
      </c>
      <c r="L71" s="374">
        <f>50000-30000</f>
        <v>20000</v>
      </c>
      <c r="M71" s="320"/>
      <c r="N71" s="320"/>
      <c r="O71" s="320"/>
      <c r="P71" s="320"/>
      <c r="Q71" s="370"/>
      <c r="R71" s="359">
        <f t="shared" si="10"/>
        <v>114600</v>
      </c>
      <c r="S71" s="235" t="s">
        <v>216</v>
      </c>
      <c r="T71" s="313"/>
    </row>
    <row r="72" spans="1:20" ht="16.5">
      <c r="A72" s="378">
        <v>5330800</v>
      </c>
      <c r="B72" s="353"/>
      <c r="C72" s="231">
        <f>70000-3435.73-3476.4-4450.5-6051.53-5055.06-5340.86-3680.4-5748.6</f>
        <v>32760.920000000006</v>
      </c>
      <c r="D72" s="353"/>
      <c r="E72" s="353"/>
      <c r="F72" s="353">
        <f>80000-1543.64-5254.9-4480.5-5159.9-4600.5-5383.9</f>
        <v>53576.66</v>
      </c>
      <c r="G72" s="353">
        <f>100000-9242.4-7048.8-8307.6-6697.4-6993.1-5376.6-8611.6-9019.6</f>
        <v>38702.900000000009</v>
      </c>
      <c r="H72" s="353"/>
      <c r="I72" s="353"/>
      <c r="J72" s="353"/>
      <c r="K72" s="353">
        <f>150000-6618.1-11759.22-8604.3-9445.7-11769.3-9122.35-10543.65-9328.3</f>
        <v>72809.079999999987</v>
      </c>
      <c r="L72" s="231">
        <f>150000-8661-4595.39-4450.5-4570.5-4480.5-50000-4480.5-4600.5-9576</f>
        <v>54585.109999999986</v>
      </c>
      <c r="M72" s="353"/>
      <c r="N72" s="353"/>
      <c r="O72" s="353"/>
      <c r="P72" s="353"/>
      <c r="Q72" s="358"/>
      <c r="R72" s="359">
        <f t="shared" si="10"/>
        <v>252434.66999999998</v>
      </c>
      <c r="S72" s="235" t="s">
        <v>236</v>
      </c>
      <c r="T72" s="313"/>
    </row>
    <row r="73" spans="1:20" ht="16.5">
      <c r="A73" s="378">
        <v>5330900</v>
      </c>
      <c r="B73" s="353"/>
      <c r="C73" s="353"/>
      <c r="D73" s="353"/>
      <c r="E73" s="353"/>
      <c r="F73" s="353"/>
      <c r="G73" s="353">
        <f>20000-1560-18000</f>
        <v>440</v>
      </c>
      <c r="H73" s="353"/>
      <c r="I73" s="353"/>
      <c r="J73" s="353"/>
      <c r="K73" s="353"/>
      <c r="L73" s="353"/>
      <c r="M73" s="353"/>
      <c r="N73" s="353"/>
      <c r="O73" s="353"/>
      <c r="P73" s="353">
        <f>30000-23500+30000-6500-23500+30000</f>
        <v>36500</v>
      </c>
      <c r="Q73" s="358"/>
      <c r="R73" s="359">
        <f t="shared" si="10"/>
        <v>36940</v>
      </c>
      <c r="S73" s="235" t="s">
        <v>237</v>
      </c>
      <c r="T73" s="313"/>
    </row>
    <row r="74" spans="1:20" ht="16.5">
      <c r="A74" s="378">
        <v>5331000</v>
      </c>
      <c r="B74" s="353"/>
      <c r="C74" s="353">
        <f>19230-4350-1750</f>
        <v>13130</v>
      </c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8"/>
      <c r="R74" s="359">
        <f t="shared" si="10"/>
        <v>13130</v>
      </c>
      <c r="S74" s="235" t="s">
        <v>238</v>
      </c>
      <c r="T74" s="313"/>
    </row>
    <row r="75" spans="1:20" ht="16.5">
      <c r="A75" s="378">
        <v>5331100</v>
      </c>
      <c r="B75" s="353"/>
      <c r="C75" s="353"/>
      <c r="D75" s="35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8"/>
      <c r="R75" s="359">
        <f t="shared" si="10"/>
        <v>0</v>
      </c>
      <c r="S75" s="235" t="s">
        <v>239</v>
      </c>
      <c r="T75" s="313"/>
    </row>
    <row r="76" spans="1:20" ht="16.5">
      <c r="A76" s="378">
        <v>5331200</v>
      </c>
      <c r="B76" s="353"/>
      <c r="C76" s="353"/>
      <c r="D76" s="353"/>
      <c r="E76" s="353"/>
      <c r="F76" s="353"/>
      <c r="G76" s="353"/>
      <c r="H76" s="353"/>
      <c r="I76" s="353"/>
      <c r="J76" s="353"/>
      <c r="K76" s="353"/>
      <c r="L76" s="353">
        <f>10000-9970</f>
        <v>30</v>
      </c>
      <c r="M76" s="353"/>
      <c r="N76" s="353"/>
      <c r="O76" s="353"/>
      <c r="P76" s="353"/>
      <c r="Q76" s="358"/>
      <c r="R76" s="359">
        <f t="shared" si="10"/>
        <v>30</v>
      </c>
      <c r="S76" s="235" t="s">
        <v>240</v>
      </c>
      <c r="T76" s="313"/>
    </row>
    <row r="77" spans="1:20" ht="16.5">
      <c r="A77" s="378">
        <v>5331300</v>
      </c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>
        <f>75000-63591</f>
        <v>11409</v>
      </c>
      <c r="O77" s="353"/>
      <c r="P77" s="353"/>
      <c r="Q77" s="358"/>
      <c r="R77" s="359">
        <f t="shared" si="10"/>
        <v>11409</v>
      </c>
      <c r="S77" s="235" t="s">
        <v>241</v>
      </c>
      <c r="T77" s="313"/>
    </row>
    <row r="78" spans="1:20" ht="16.5">
      <c r="A78" s="378">
        <v>5331600</v>
      </c>
      <c r="B78" s="353"/>
      <c r="C78" s="353"/>
      <c r="D78" s="353"/>
      <c r="E78" s="353"/>
      <c r="F78" s="353">
        <v>10000</v>
      </c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8"/>
      <c r="R78" s="359">
        <f t="shared" si="10"/>
        <v>10000</v>
      </c>
      <c r="S78" s="235" t="s">
        <v>211</v>
      </c>
      <c r="T78" s="313"/>
    </row>
    <row r="79" spans="1:20" ht="16.5">
      <c r="A79" s="378" t="s">
        <v>42</v>
      </c>
      <c r="B79" s="353">
        <f>SUM(B64:B78)</f>
        <v>0</v>
      </c>
      <c r="C79" s="353">
        <f>SUM(C64:C78)</f>
        <v>239020.92</v>
      </c>
      <c r="D79" s="353">
        <f t="shared" ref="D79:Q79" si="11">SUM(D64:D78)</f>
        <v>55120</v>
      </c>
      <c r="E79" s="353">
        <f t="shared" si="11"/>
        <v>0</v>
      </c>
      <c r="F79" s="353">
        <f t="shared" si="11"/>
        <v>187576.66</v>
      </c>
      <c r="G79" s="353">
        <f t="shared" si="11"/>
        <v>53942.900000000009</v>
      </c>
      <c r="H79" s="353">
        <f t="shared" si="11"/>
        <v>0</v>
      </c>
      <c r="I79" s="353">
        <f t="shared" si="11"/>
        <v>0</v>
      </c>
      <c r="J79" s="353">
        <f t="shared" si="11"/>
        <v>35990</v>
      </c>
      <c r="K79" s="353">
        <f t="shared" si="11"/>
        <v>599461.07999999996</v>
      </c>
      <c r="L79" s="353">
        <f t="shared" si="11"/>
        <v>74615.109999999986</v>
      </c>
      <c r="M79" s="353">
        <f t="shared" si="11"/>
        <v>985748.06000000029</v>
      </c>
      <c r="N79" s="353">
        <f t="shared" si="11"/>
        <v>11409</v>
      </c>
      <c r="O79" s="353">
        <f t="shared" si="11"/>
        <v>0</v>
      </c>
      <c r="P79" s="353">
        <f t="shared" si="11"/>
        <v>159015</v>
      </c>
      <c r="Q79" s="353">
        <f t="shared" si="11"/>
        <v>0</v>
      </c>
      <c r="R79" s="231">
        <f>SUM(B79:Q79)</f>
        <v>2401898.7300000004</v>
      </c>
      <c r="S79" s="235"/>
      <c r="T79" s="235"/>
    </row>
    <row r="80" spans="1:20" ht="16.5">
      <c r="A80" s="378">
        <v>5340100</v>
      </c>
      <c r="B80" s="353"/>
      <c r="C80" s="353">
        <f>234948.64-18831.41-21561.55-27843.93-26402.43-26565.08</f>
        <v>113744.24000000003</v>
      </c>
      <c r="D80" s="353"/>
      <c r="E80" s="353"/>
      <c r="F80" s="353"/>
      <c r="G80" s="353"/>
      <c r="H80" s="353"/>
      <c r="I80" s="353"/>
      <c r="J80" s="353"/>
      <c r="K80" s="353"/>
      <c r="L80" s="353"/>
      <c r="M80" s="353">
        <f>27903.85-1166.41-1913.41-2825.74-3074.64-3341.67-3172.06-969.59-2268.77</f>
        <v>9171.5600000000013</v>
      </c>
      <c r="N80" s="353"/>
      <c r="O80" s="353"/>
      <c r="P80" s="353">
        <f>646037.3-55677.35-55047.12-57133.46-52683.58-53347.43-57543.62-61376.19-55192.16</f>
        <v>198036.39000000004</v>
      </c>
      <c r="Q80" s="353"/>
      <c r="R80" s="231">
        <f t="shared" si="10"/>
        <v>320952.19000000006</v>
      </c>
      <c r="S80" s="235" t="s">
        <v>208</v>
      </c>
      <c r="T80" s="313"/>
    </row>
    <row r="81" spans="1:20" ht="16.5">
      <c r="A81" s="378">
        <v>5340200</v>
      </c>
      <c r="B81" s="353"/>
      <c r="C81" s="353">
        <f>18528.11-1148.32-1448.78-1171.44-3059.35-1310.11-1518.12-1448.78</f>
        <v>7423.2099999999982</v>
      </c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231">
        <f t="shared" si="10"/>
        <v>7423.2099999999982</v>
      </c>
      <c r="S81" s="235" t="s">
        <v>242</v>
      </c>
      <c r="T81" s="313"/>
    </row>
    <row r="82" spans="1:20" ht="16.5">
      <c r="A82" s="378">
        <v>5340300</v>
      </c>
      <c r="B82" s="353"/>
      <c r="C82" s="353">
        <f>14889.79-123.05-226.84-107-7000-214-235.4</f>
        <v>6983.5000000000018</v>
      </c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231">
        <f t="shared" si="10"/>
        <v>6983.5000000000018</v>
      </c>
      <c r="S82" s="235" t="s">
        <v>213</v>
      </c>
      <c r="T82" s="313"/>
    </row>
    <row r="83" spans="1:20" ht="16.5">
      <c r="A83" s="378">
        <v>5340400</v>
      </c>
      <c r="B83" s="353"/>
      <c r="C83" s="353">
        <f>34765-4215-1728-442-829-184-581</f>
        <v>26786</v>
      </c>
      <c r="D83" s="353"/>
      <c r="E83" s="353"/>
      <c r="F83" s="353"/>
      <c r="G83" s="353"/>
      <c r="H83" s="353"/>
      <c r="I83" s="353"/>
      <c r="J83" s="353"/>
      <c r="K83" s="353"/>
      <c r="L83" s="353"/>
      <c r="M83" s="353">
        <v>3000</v>
      </c>
      <c r="N83" s="353"/>
      <c r="O83" s="353"/>
      <c r="P83" s="353"/>
      <c r="Q83" s="353"/>
      <c r="R83" s="231">
        <f t="shared" si="10"/>
        <v>29786</v>
      </c>
      <c r="S83" s="235" t="s">
        <v>214</v>
      </c>
      <c r="T83" s="313"/>
    </row>
    <row r="84" spans="1:20" ht="16.5">
      <c r="A84" s="378">
        <v>5340500</v>
      </c>
      <c r="B84" s="353"/>
      <c r="C84" s="353">
        <f>116428.84-9095-13447.76-17771.9-9095-9095</f>
        <v>57924.179999999993</v>
      </c>
      <c r="D84" s="353"/>
      <c r="E84" s="353"/>
      <c r="F84" s="353"/>
      <c r="G84" s="353"/>
      <c r="H84" s="353"/>
      <c r="I84" s="353"/>
      <c r="J84" s="353"/>
      <c r="K84" s="353"/>
      <c r="L84" s="353"/>
      <c r="M84" s="353">
        <f>45555-4815-4815-4815-4815-4815</f>
        <v>21480</v>
      </c>
      <c r="N84" s="353"/>
      <c r="O84" s="353"/>
      <c r="P84" s="353"/>
      <c r="Q84" s="353"/>
      <c r="R84" s="231">
        <f t="shared" si="10"/>
        <v>79404.179999999993</v>
      </c>
      <c r="S84" s="235" t="s">
        <v>215</v>
      </c>
      <c r="T84" s="313"/>
    </row>
    <row r="85" spans="1:20" ht="16.5">
      <c r="A85" s="378" t="s">
        <v>42</v>
      </c>
      <c r="B85" s="353">
        <v>0</v>
      </c>
      <c r="C85" s="353">
        <f>SUM(C80:C84)</f>
        <v>212861.13</v>
      </c>
      <c r="D85" s="353">
        <f t="shared" ref="D85:Q85" si="12">SUM(D80:D84)</f>
        <v>0</v>
      </c>
      <c r="E85" s="353">
        <f t="shared" si="12"/>
        <v>0</v>
      </c>
      <c r="F85" s="353">
        <f t="shared" si="12"/>
        <v>0</v>
      </c>
      <c r="G85" s="353">
        <f t="shared" si="12"/>
        <v>0</v>
      </c>
      <c r="H85" s="353">
        <f t="shared" si="12"/>
        <v>0</v>
      </c>
      <c r="I85" s="353">
        <f t="shared" si="12"/>
        <v>0</v>
      </c>
      <c r="J85" s="353">
        <f t="shared" si="12"/>
        <v>0</v>
      </c>
      <c r="K85" s="353">
        <f t="shared" si="12"/>
        <v>0</v>
      </c>
      <c r="L85" s="353">
        <f t="shared" si="12"/>
        <v>0</v>
      </c>
      <c r="M85" s="353">
        <f t="shared" si="12"/>
        <v>33651.56</v>
      </c>
      <c r="N85" s="353">
        <f t="shared" si="12"/>
        <v>0</v>
      </c>
      <c r="O85" s="353">
        <f t="shared" si="12"/>
        <v>0</v>
      </c>
      <c r="P85" s="353">
        <f t="shared" si="12"/>
        <v>198036.39000000004</v>
      </c>
      <c r="Q85" s="353">
        <f t="shared" si="12"/>
        <v>0</v>
      </c>
      <c r="R85" s="231">
        <f t="shared" si="10"/>
        <v>444549.08000000007</v>
      </c>
      <c r="S85" s="235"/>
      <c r="T85" s="313"/>
    </row>
    <row r="86" spans="1:20" ht="16.5">
      <c r="A86" s="355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09"/>
      <c r="S86" s="235"/>
      <c r="T86" s="313"/>
    </row>
    <row r="87" spans="1:20" ht="16.5">
      <c r="A87" s="355"/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09"/>
      <c r="S87" s="235"/>
      <c r="T87" s="313"/>
    </row>
    <row r="88" spans="1:20" ht="16.5">
      <c r="A88" s="355"/>
      <c r="B88" s="361"/>
      <c r="C88" s="361"/>
      <c r="D88" s="361"/>
      <c r="E88" s="361"/>
      <c r="F88" s="361"/>
      <c r="G88" s="361"/>
      <c r="H88" s="361"/>
      <c r="I88" s="361"/>
      <c r="J88" s="361"/>
      <c r="K88" s="361"/>
      <c r="L88" s="361"/>
      <c r="M88" s="361"/>
      <c r="N88" s="361"/>
      <c r="O88" s="361"/>
      <c r="P88" s="361"/>
      <c r="Q88" s="361"/>
      <c r="R88" s="309"/>
      <c r="S88" s="235"/>
      <c r="T88" s="313"/>
    </row>
    <row r="89" spans="1:20" ht="16.5">
      <c r="A89" s="355"/>
      <c r="B89" s="361"/>
      <c r="C89" s="361"/>
      <c r="D89" s="361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09"/>
      <c r="S89" s="235"/>
      <c r="T89" s="313"/>
    </row>
    <row r="90" spans="1:20" ht="16.5">
      <c r="A90" s="355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09"/>
      <c r="S90" s="235"/>
      <c r="T90" s="313"/>
    </row>
    <row r="91" spans="1:20" ht="16.5">
      <c r="A91" s="355"/>
      <c r="B91" s="361"/>
      <c r="C91" s="361"/>
      <c r="D91" s="361"/>
      <c r="E91" s="361"/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09"/>
      <c r="S91" s="235"/>
      <c r="T91" s="313"/>
    </row>
    <row r="92" spans="1:20" ht="18" customHeight="1">
      <c r="A92" s="351" t="s">
        <v>39</v>
      </c>
      <c r="B92" s="337" t="s">
        <v>4</v>
      </c>
      <c r="C92" s="618" t="s">
        <v>104</v>
      </c>
      <c r="D92" s="618"/>
      <c r="E92" s="626" t="s">
        <v>107</v>
      </c>
      <c r="F92" s="627"/>
      <c r="G92" s="386" t="s">
        <v>109</v>
      </c>
      <c r="H92" s="384" t="s">
        <v>111</v>
      </c>
      <c r="I92" s="389" t="s">
        <v>113</v>
      </c>
      <c r="J92" s="623" t="s">
        <v>115</v>
      </c>
      <c r="K92" s="624"/>
      <c r="L92" s="625"/>
      <c r="M92" s="339" t="s">
        <v>117</v>
      </c>
      <c r="N92" s="619" t="s">
        <v>118</v>
      </c>
      <c r="O92" s="620"/>
      <c r="P92" s="340" t="s">
        <v>120</v>
      </c>
      <c r="Q92" s="341" t="s">
        <v>126</v>
      </c>
      <c r="R92" s="621" t="s">
        <v>41</v>
      </c>
      <c r="S92" s="235"/>
      <c r="T92" s="313"/>
    </row>
    <row r="93" spans="1:20" ht="18" customHeight="1">
      <c r="A93" s="352" t="s">
        <v>40</v>
      </c>
      <c r="B93" s="342" t="s">
        <v>4</v>
      </c>
      <c r="C93" s="343" t="s">
        <v>105</v>
      </c>
      <c r="D93" s="167" t="s">
        <v>106</v>
      </c>
      <c r="E93" s="167" t="s">
        <v>105</v>
      </c>
      <c r="F93" s="344" t="s">
        <v>256</v>
      </c>
      <c r="G93" s="387" t="s">
        <v>110</v>
      </c>
      <c r="H93" s="385" t="s">
        <v>112</v>
      </c>
      <c r="I93" s="396" t="s">
        <v>114</v>
      </c>
      <c r="J93" s="345" t="s">
        <v>105</v>
      </c>
      <c r="K93" s="346" t="s">
        <v>116</v>
      </c>
      <c r="L93" s="346" t="s">
        <v>134</v>
      </c>
      <c r="M93" s="347" t="s">
        <v>105</v>
      </c>
      <c r="N93" s="348" t="s">
        <v>119</v>
      </c>
      <c r="O93" s="169" t="s">
        <v>118</v>
      </c>
      <c r="P93" s="349" t="s">
        <v>121</v>
      </c>
      <c r="Q93" s="350" t="s">
        <v>127</v>
      </c>
      <c r="R93" s="622"/>
      <c r="S93" s="235"/>
      <c r="T93" s="313"/>
    </row>
    <row r="94" spans="1:20" ht="18" customHeight="1">
      <c r="A94" s="379">
        <v>5610100</v>
      </c>
      <c r="B94" s="370"/>
      <c r="C94" s="370"/>
      <c r="D94" s="370"/>
      <c r="E94" s="370"/>
      <c r="F94" s="370"/>
      <c r="G94" s="435"/>
      <c r="H94" s="435"/>
      <c r="I94" s="436"/>
      <c r="J94" s="370"/>
      <c r="K94" s="358">
        <f>100000-21365.71-33103.99</f>
        <v>45530.30000000001</v>
      </c>
      <c r="L94" s="370"/>
      <c r="M94" s="376">
        <f>2044000-511000-507000</f>
        <v>1026000</v>
      </c>
      <c r="N94" s="370"/>
      <c r="O94" s="435"/>
      <c r="P94" s="370"/>
      <c r="Q94" s="370"/>
      <c r="R94" s="372">
        <f>SUM(B94:Q94)</f>
        <v>1071530.3</v>
      </c>
      <c r="S94" s="235" t="s">
        <v>328</v>
      </c>
      <c r="T94" s="313"/>
    </row>
    <row r="95" spans="1:20" ht="16.5">
      <c r="A95" s="379">
        <v>5610200</v>
      </c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76"/>
      <c r="N95" s="376"/>
      <c r="O95" s="358"/>
      <c r="P95" s="358"/>
      <c r="Q95" s="358"/>
      <c r="R95" s="372">
        <f>SUM(B95:Q95)</f>
        <v>0</v>
      </c>
      <c r="S95" s="235" t="s">
        <v>327</v>
      </c>
      <c r="T95" s="313"/>
    </row>
    <row r="96" spans="1:20" ht="16.5">
      <c r="A96" s="379">
        <v>5610300</v>
      </c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76"/>
      <c r="N96" s="376"/>
      <c r="O96" s="358"/>
      <c r="P96" s="358"/>
      <c r="Q96" s="358"/>
      <c r="R96" s="372">
        <f>SUM(B96:Q96)</f>
        <v>0</v>
      </c>
      <c r="S96" s="235" t="s">
        <v>329</v>
      </c>
      <c r="T96" s="313"/>
    </row>
    <row r="97" spans="1:20" ht="16.5">
      <c r="A97" s="378" t="s">
        <v>42</v>
      </c>
      <c r="B97" s="353">
        <v>0</v>
      </c>
      <c r="C97" s="353">
        <f>SUM(C94:C96)</f>
        <v>0</v>
      </c>
      <c r="D97" s="353">
        <v>0</v>
      </c>
      <c r="E97" s="353">
        <v>0</v>
      </c>
      <c r="F97" s="353">
        <f>SUM(F95)</f>
        <v>0</v>
      </c>
      <c r="G97" s="353">
        <f>SUM(G94:G96)</f>
        <v>0</v>
      </c>
      <c r="H97" s="353">
        <f>SUM(H95)</f>
        <v>0</v>
      </c>
      <c r="I97" s="353">
        <f>SUM(I94:I96)</f>
        <v>0</v>
      </c>
      <c r="J97" s="353">
        <f>SUM(J95)</f>
        <v>0</v>
      </c>
      <c r="K97" s="353">
        <f>SUM(K94:K96)</f>
        <v>45530.30000000001</v>
      </c>
      <c r="L97" s="353">
        <v>0</v>
      </c>
      <c r="M97" s="354">
        <f>SUM(M94:M95)</f>
        <v>1026000</v>
      </c>
      <c r="N97" s="354">
        <f>SUM(N95)</f>
        <v>0</v>
      </c>
      <c r="O97" s="353">
        <f>SUM(O94:O96)</f>
        <v>0</v>
      </c>
      <c r="P97" s="353">
        <f>SUM(P95)</f>
        <v>0</v>
      </c>
      <c r="Q97" s="353">
        <f>SUM(Q95)</f>
        <v>0</v>
      </c>
      <c r="R97" s="231">
        <f>SUM(B97:Q97)</f>
        <v>1071530.3</v>
      </c>
      <c r="S97" s="235"/>
      <c r="T97" s="313"/>
    </row>
    <row r="98" spans="1:20" ht="16.5">
      <c r="A98" s="378">
        <v>5410100</v>
      </c>
      <c r="B98" s="353"/>
      <c r="C98" s="353">
        <f>48200-5200-28100</f>
        <v>14900</v>
      </c>
      <c r="D98" s="353">
        <f>5500-5000</f>
        <v>500</v>
      </c>
      <c r="E98" s="353"/>
      <c r="F98" s="353"/>
      <c r="G98" s="353">
        <f>11000-10000</f>
        <v>1000</v>
      </c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231">
        <f t="shared" ref="R98:R108" si="13">SUM(B98:P98)</f>
        <v>16400</v>
      </c>
      <c r="S98" s="235" t="s">
        <v>207</v>
      </c>
      <c r="T98" s="313"/>
    </row>
    <row r="99" spans="1:20" ht="16.5">
      <c r="A99" s="379">
        <v>5411300</v>
      </c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  <c r="O99" s="358"/>
      <c r="P99" s="358"/>
      <c r="Q99" s="358"/>
      <c r="R99" s="357">
        <f t="shared" si="13"/>
        <v>0</v>
      </c>
      <c r="S99" s="235" t="s">
        <v>322</v>
      </c>
      <c r="T99" s="313"/>
    </row>
    <row r="100" spans="1:20" ht="16.5">
      <c r="A100" s="379">
        <v>5411000</v>
      </c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231">
        <f t="shared" si="13"/>
        <v>0</v>
      </c>
      <c r="S100" s="235" t="s">
        <v>323</v>
      </c>
      <c r="T100" s="313"/>
    </row>
    <row r="101" spans="1:20" ht="16.5">
      <c r="A101" s="378">
        <v>5410600</v>
      </c>
      <c r="B101" s="353"/>
      <c r="C101" s="353">
        <f>27000-4500-12000</f>
        <v>10500</v>
      </c>
      <c r="D101" s="353"/>
      <c r="E101" s="353"/>
      <c r="F101" s="353"/>
      <c r="G101" s="353"/>
      <c r="H101" s="353"/>
      <c r="I101" s="353"/>
      <c r="J101" s="353"/>
      <c r="K101" s="353"/>
      <c r="L101" s="353"/>
      <c r="M101" s="353">
        <f>161500-112900</f>
        <v>48600</v>
      </c>
      <c r="N101" s="353"/>
      <c r="O101" s="353"/>
      <c r="P101" s="353"/>
      <c r="Q101" s="353"/>
      <c r="R101" s="231">
        <f t="shared" si="13"/>
        <v>59100</v>
      </c>
      <c r="S101" s="235" t="s">
        <v>208</v>
      </c>
      <c r="T101" s="313"/>
    </row>
    <row r="102" spans="1:20" ht="16.5">
      <c r="A102" s="378">
        <v>5411100</v>
      </c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231">
        <f>SUM(B102:Q102)</f>
        <v>0</v>
      </c>
      <c r="S102" s="235" t="s">
        <v>211</v>
      </c>
      <c r="T102" s="313"/>
    </row>
    <row r="103" spans="1:20" ht="16.5">
      <c r="A103" s="378">
        <v>5410800</v>
      </c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231">
        <f>SUM(B103:Q103)</f>
        <v>0</v>
      </c>
      <c r="S103" s="235" t="s">
        <v>237</v>
      </c>
      <c r="T103" s="313"/>
    </row>
    <row r="104" spans="1:20" ht="16.5">
      <c r="A104" s="378">
        <v>5410400</v>
      </c>
      <c r="B104" s="353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231">
        <f>SUM(B104:Q104)</f>
        <v>0</v>
      </c>
      <c r="S104" s="235" t="s">
        <v>238</v>
      </c>
      <c r="T104" s="313"/>
    </row>
    <row r="105" spans="1:20" ht="16.5">
      <c r="A105" s="378">
        <v>5411600</v>
      </c>
      <c r="B105" s="353"/>
      <c r="C105" s="353">
        <f>20300-20300</f>
        <v>0</v>
      </c>
      <c r="D105" s="353"/>
      <c r="E105" s="353"/>
      <c r="F105" s="353"/>
      <c r="G105" s="353"/>
      <c r="H105" s="353"/>
      <c r="I105" s="353"/>
      <c r="J105" s="353">
        <f>7900-7900</f>
        <v>0</v>
      </c>
      <c r="K105" s="353"/>
      <c r="L105" s="353"/>
      <c r="M105" s="353"/>
      <c r="N105" s="353"/>
      <c r="O105" s="353"/>
      <c r="P105" s="353"/>
      <c r="Q105" s="353"/>
      <c r="R105" s="231">
        <f>SUM(B105:Q105)</f>
        <v>0</v>
      </c>
      <c r="S105" s="235" t="s">
        <v>217</v>
      </c>
      <c r="T105" s="313"/>
    </row>
    <row r="106" spans="1:20" ht="16.5">
      <c r="A106" s="378">
        <v>5411500</v>
      </c>
      <c r="B106" s="353"/>
      <c r="C106" s="353">
        <f>7500-6400</f>
        <v>1100</v>
      </c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  <c r="Q106" s="353"/>
      <c r="R106" s="231"/>
      <c r="S106" s="235" t="s">
        <v>391</v>
      </c>
      <c r="T106" s="313"/>
    </row>
    <row r="107" spans="1:20" ht="16.5">
      <c r="A107" s="378" t="s">
        <v>42</v>
      </c>
      <c r="B107" s="353">
        <v>0</v>
      </c>
      <c r="C107" s="353">
        <f>SUM(C98:C106)</f>
        <v>26500</v>
      </c>
      <c r="D107" s="353">
        <f>SUM(D98:D105)</f>
        <v>500</v>
      </c>
      <c r="E107" s="353">
        <f>SUM(E98:E101)</f>
        <v>0</v>
      </c>
      <c r="F107" s="353">
        <f>SUM(F98:F102)</f>
        <v>0</v>
      </c>
      <c r="G107" s="353">
        <f>SUM(G98:G105)</f>
        <v>1000</v>
      </c>
      <c r="H107" s="353">
        <v>0</v>
      </c>
      <c r="I107" s="353">
        <f>SUM(I98:I101)</f>
        <v>0</v>
      </c>
      <c r="J107" s="353">
        <f>SUM(J98:J105)</f>
        <v>0</v>
      </c>
      <c r="K107" s="353">
        <f>SUM(K98:K105)</f>
        <v>0</v>
      </c>
      <c r="L107" s="353">
        <f t="shared" ref="L107:Q107" si="14">SUM(L98:L101)</f>
        <v>0</v>
      </c>
      <c r="M107" s="353">
        <f>SUM(M98:M105)</f>
        <v>48600</v>
      </c>
      <c r="N107" s="353">
        <f t="shared" si="14"/>
        <v>0</v>
      </c>
      <c r="O107" s="353">
        <f t="shared" si="14"/>
        <v>0</v>
      </c>
      <c r="P107" s="353">
        <f t="shared" si="14"/>
        <v>0</v>
      </c>
      <c r="Q107" s="353">
        <f t="shared" si="14"/>
        <v>0</v>
      </c>
      <c r="R107" s="231">
        <f>SUM(B107:Q107)</f>
        <v>76600</v>
      </c>
      <c r="S107" s="235"/>
      <c r="T107" s="235"/>
    </row>
    <row r="108" spans="1:20" ht="16.5">
      <c r="A108" s="379">
        <v>5420700</v>
      </c>
      <c r="B108" s="320"/>
      <c r="C108" s="374">
        <v>3000000</v>
      </c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231">
        <f t="shared" si="13"/>
        <v>3000000</v>
      </c>
      <c r="S108" s="235" t="s">
        <v>243</v>
      </c>
      <c r="T108" s="313"/>
    </row>
    <row r="109" spans="1:20" ht="16.5">
      <c r="A109" s="379">
        <v>5421000</v>
      </c>
      <c r="B109" s="320"/>
      <c r="C109" s="374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231">
        <f>SUM(B109:Q109)</f>
        <v>0</v>
      </c>
      <c r="S109" s="235" t="s">
        <v>244</v>
      </c>
      <c r="T109" s="313"/>
    </row>
    <row r="110" spans="1:20" ht="16.5">
      <c r="A110" s="378" t="s">
        <v>42</v>
      </c>
      <c r="B110" s="353">
        <v>0</v>
      </c>
      <c r="C110" s="354">
        <f>SUM(C108)</f>
        <v>3000000</v>
      </c>
      <c r="D110" s="353">
        <f t="shared" ref="D110:Q110" si="15">SUM(D108)</f>
        <v>0</v>
      </c>
      <c r="E110" s="353"/>
      <c r="F110" s="353">
        <f t="shared" si="15"/>
        <v>0</v>
      </c>
      <c r="G110" s="353">
        <f t="shared" si="15"/>
        <v>0</v>
      </c>
      <c r="H110" s="353">
        <f t="shared" si="15"/>
        <v>0</v>
      </c>
      <c r="I110" s="353">
        <f t="shared" si="15"/>
        <v>0</v>
      </c>
      <c r="J110" s="353">
        <f t="shared" si="15"/>
        <v>0</v>
      </c>
      <c r="K110" s="353">
        <f>SUM(K108:K109)</f>
        <v>0</v>
      </c>
      <c r="L110" s="353"/>
      <c r="M110" s="353">
        <f>SUM(M108:M109)</f>
        <v>0</v>
      </c>
      <c r="N110" s="353">
        <f t="shared" si="15"/>
        <v>0</v>
      </c>
      <c r="O110" s="353">
        <f t="shared" si="15"/>
        <v>0</v>
      </c>
      <c r="P110" s="353">
        <f>SUM(P108:P109)</f>
        <v>0</v>
      </c>
      <c r="Q110" s="353">
        <f t="shared" si="15"/>
        <v>0</v>
      </c>
      <c r="R110" s="231">
        <f>SUM(B110:P110)</f>
        <v>3000000</v>
      </c>
      <c r="S110" s="235"/>
      <c r="T110" s="314"/>
    </row>
    <row r="111" spans="1:20" ht="16.5">
      <c r="A111" s="378" t="s">
        <v>43</v>
      </c>
      <c r="B111" s="231">
        <f>B17+B26+B35+B38+B43+B48+B79+B85+B97+B107+B110</f>
        <v>4878750</v>
      </c>
      <c r="C111" s="231">
        <f t="shared" ref="C111:Q111" si="16">C17+C26+C35+C38+C43+C48+C79+C85+C97+C107+C110</f>
        <v>7121132.5999999996</v>
      </c>
      <c r="D111" s="231">
        <f t="shared" si="16"/>
        <v>973030</v>
      </c>
      <c r="E111" s="231">
        <f t="shared" si="16"/>
        <v>112983</v>
      </c>
      <c r="F111" s="231">
        <f t="shared" si="16"/>
        <v>557961.66</v>
      </c>
      <c r="G111" s="231">
        <f t="shared" si="16"/>
        <v>394168.08</v>
      </c>
      <c r="H111" s="231">
        <f t="shared" si="16"/>
        <v>30000</v>
      </c>
      <c r="I111" s="231">
        <f t="shared" si="16"/>
        <v>82616</v>
      </c>
      <c r="J111" s="231">
        <f t="shared" si="16"/>
        <v>740802</v>
      </c>
      <c r="K111" s="231">
        <f t="shared" si="16"/>
        <v>1218460.71</v>
      </c>
      <c r="L111" s="231">
        <f t="shared" si="16"/>
        <v>376669.11</v>
      </c>
      <c r="M111" s="231">
        <f t="shared" si="16"/>
        <v>5083685.32</v>
      </c>
      <c r="N111" s="231">
        <f t="shared" si="16"/>
        <v>67881</v>
      </c>
      <c r="O111" s="231">
        <f t="shared" si="16"/>
        <v>95490</v>
      </c>
      <c r="P111" s="231">
        <f t="shared" si="16"/>
        <v>508251.39</v>
      </c>
      <c r="Q111" s="231">
        <f t="shared" si="16"/>
        <v>75000</v>
      </c>
      <c r="R111" s="231">
        <f>SUM(B111:Q111)</f>
        <v>22316880.870000001</v>
      </c>
      <c r="S111" s="437"/>
      <c r="T111" s="314"/>
    </row>
    <row r="112" spans="1:20" ht="16.5">
      <c r="A112" s="434"/>
      <c r="B112" s="356"/>
      <c r="C112" s="356"/>
      <c r="D112" s="356"/>
      <c r="E112" s="356"/>
      <c r="F112" s="356"/>
      <c r="G112" s="356"/>
      <c r="H112" s="356"/>
      <c r="I112" s="356"/>
      <c r="J112" s="356"/>
      <c r="K112" s="356"/>
      <c r="L112" s="356"/>
      <c r="M112" s="356"/>
      <c r="N112" s="356"/>
      <c r="O112" s="356"/>
      <c r="P112" s="356"/>
      <c r="Q112" s="356"/>
      <c r="R112" s="356"/>
      <c r="S112" s="235"/>
      <c r="T112" s="314"/>
    </row>
    <row r="113" spans="1:20" ht="18">
      <c r="A113" s="153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235"/>
      <c r="T113" s="314"/>
    </row>
    <row r="114" spans="1:20" ht="18">
      <c r="A114" s="153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235"/>
      <c r="T114" s="313"/>
    </row>
    <row r="115" spans="1:20" ht="21">
      <c r="A115" s="554" t="s">
        <v>52</v>
      </c>
      <c r="B115" s="554"/>
      <c r="C115" s="554"/>
      <c r="D115" s="554"/>
      <c r="E115" s="554"/>
      <c r="F115" s="554"/>
      <c r="G115" s="554" t="s">
        <v>122</v>
      </c>
      <c r="H115" s="554"/>
      <c r="I115" s="554"/>
      <c r="J115" s="554"/>
      <c r="K115" s="554"/>
      <c r="L115" s="554"/>
      <c r="M115" s="554"/>
      <c r="N115" s="554" t="s">
        <v>133</v>
      </c>
      <c r="O115" s="554"/>
      <c r="P115" s="554"/>
      <c r="Q115" s="554"/>
      <c r="R115" s="554"/>
      <c r="S115" s="235"/>
      <c r="T115" s="313"/>
    </row>
    <row r="116" spans="1:20" ht="21">
      <c r="A116" s="554" t="s">
        <v>125</v>
      </c>
      <c r="B116" s="554"/>
      <c r="C116" s="554"/>
      <c r="D116" s="554"/>
      <c r="E116" s="554"/>
      <c r="F116" s="554"/>
      <c r="G116" s="554" t="s">
        <v>50</v>
      </c>
      <c r="H116" s="554"/>
      <c r="I116" s="554"/>
      <c r="J116" s="554"/>
      <c r="K116" s="554"/>
      <c r="L116" s="554"/>
      <c r="M116" s="554"/>
      <c r="N116" s="554" t="s">
        <v>51</v>
      </c>
      <c r="O116" s="554"/>
      <c r="P116" s="554"/>
      <c r="Q116" s="554"/>
      <c r="R116" s="554"/>
      <c r="S116" s="235"/>
      <c r="T116" s="313"/>
    </row>
    <row r="117" spans="1:20" ht="23.25">
      <c r="A117" s="597"/>
      <c r="B117" s="597"/>
      <c r="C117" s="597"/>
      <c r="D117" s="597"/>
      <c r="E117" s="597"/>
      <c r="F117" s="597"/>
      <c r="G117" s="154"/>
      <c r="H117" s="154"/>
      <c r="I117" s="154"/>
      <c r="J117" s="154"/>
      <c r="K117" s="154"/>
      <c r="L117" s="154"/>
      <c r="M117" s="154"/>
      <c r="N117" s="597"/>
      <c r="O117" s="597"/>
      <c r="P117" s="597"/>
      <c r="Q117" s="597"/>
      <c r="R117" s="597"/>
      <c r="S117" s="235"/>
      <c r="T117" s="313"/>
    </row>
    <row r="118" spans="1:20" ht="23.25">
      <c r="A118" s="596"/>
      <c r="B118" s="596"/>
      <c r="C118" s="596"/>
      <c r="D118" s="596"/>
      <c r="E118" s="596"/>
      <c r="F118" s="596"/>
      <c r="G118" s="596"/>
      <c r="H118" s="596"/>
      <c r="I118" s="596"/>
      <c r="J118" s="596"/>
      <c r="K118" s="596"/>
      <c r="L118" s="596"/>
      <c r="M118" s="596"/>
      <c r="N118" s="596"/>
      <c r="O118" s="596"/>
      <c r="P118" s="596"/>
      <c r="Q118" s="596"/>
      <c r="R118" s="596"/>
      <c r="S118" s="235"/>
      <c r="T118" s="235"/>
    </row>
    <row r="119" spans="1:20" ht="23.25">
      <c r="A119" s="596"/>
      <c r="B119" s="596"/>
      <c r="C119" s="596"/>
      <c r="D119" s="596"/>
      <c r="E119" s="596"/>
      <c r="F119" s="596"/>
      <c r="G119" s="596"/>
      <c r="H119" s="596"/>
      <c r="I119" s="596"/>
      <c r="J119" s="596"/>
      <c r="K119" s="596"/>
      <c r="L119" s="596"/>
      <c r="M119" s="596"/>
      <c r="N119" s="596"/>
      <c r="O119" s="596"/>
      <c r="P119" s="596"/>
      <c r="Q119" s="596"/>
      <c r="R119" s="596"/>
      <c r="S119" s="235"/>
      <c r="T119" s="313"/>
    </row>
    <row r="120" spans="1:20" ht="23.25">
      <c r="A120" s="596"/>
      <c r="B120" s="596"/>
      <c r="C120" s="596"/>
      <c r="D120" s="596"/>
      <c r="E120" s="596"/>
      <c r="F120" s="596"/>
      <c r="G120" s="596"/>
      <c r="H120" s="596"/>
      <c r="I120" s="596"/>
      <c r="J120" s="596"/>
      <c r="K120" s="596"/>
      <c r="L120" s="596"/>
      <c r="M120" s="596"/>
      <c r="N120" s="596"/>
      <c r="O120" s="596"/>
      <c r="P120" s="596"/>
      <c r="Q120" s="596"/>
      <c r="R120" s="596"/>
      <c r="S120" s="235"/>
      <c r="T120" s="313"/>
    </row>
    <row r="121" spans="1:20" ht="2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235"/>
      <c r="T121" s="313"/>
    </row>
    <row r="122" spans="1:20" ht="21">
      <c r="A122" s="60"/>
      <c r="B122" s="45"/>
      <c r="C122" s="595"/>
      <c r="D122" s="595"/>
      <c r="E122" s="336"/>
      <c r="F122" s="598"/>
      <c r="G122" s="598"/>
      <c r="H122" s="599"/>
      <c r="I122" s="599"/>
      <c r="J122" s="599"/>
      <c r="K122" s="155"/>
      <c r="L122" s="155"/>
      <c r="M122" s="156"/>
      <c r="N122" s="46"/>
      <c r="O122" s="47"/>
      <c r="P122" s="48"/>
      <c r="Q122" s="48"/>
      <c r="R122" s="600"/>
      <c r="S122" s="235"/>
      <c r="T122" s="313"/>
    </row>
    <row r="123" spans="1:20" ht="21">
      <c r="A123" s="157"/>
      <c r="B123" s="49"/>
      <c r="C123" s="50"/>
      <c r="D123" s="51"/>
      <c r="E123" s="51"/>
      <c r="F123" s="158"/>
      <c r="G123" s="159"/>
      <c r="H123" s="160"/>
      <c r="I123" s="161"/>
      <c r="J123" s="162"/>
      <c r="K123" s="163"/>
      <c r="L123" s="163"/>
      <c r="M123" s="164"/>
      <c r="N123" s="52"/>
      <c r="O123" s="53"/>
      <c r="P123" s="54"/>
      <c r="Q123" s="54"/>
      <c r="R123" s="600"/>
      <c r="S123" s="235"/>
      <c r="T123" s="313"/>
    </row>
    <row r="124" spans="1:20" ht="18">
      <c r="A124" s="165"/>
      <c r="B124" s="57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56"/>
      <c r="S124" s="235"/>
      <c r="T124" s="313"/>
    </row>
    <row r="125" spans="1:20" ht="18">
      <c r="A125" s="153"/>
      <c r="B125" s="57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56"/>
      <c r="S125" s="235"/>
      <c r="T125" s="313"/>
    </row>
    <row r="126" spans="1:20" ht="18">
      <c r="A126" s="153"/>
      <c r="B126" s="58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56"/>
      <c r="S126" s="235"/>
    </row>
    <row r="127" spans="1:20" ht="18">
      <c r="A127" s="153"/>
      <c r="B127" s="40"/>
      <c r="C127" s="41"/>
      <c r="D127" s="41"/>
      <c r="E127" s="41"/>
      <c r="F127" s="41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56"/>
      <c r="S127" s="235"/>
    </row>
    <row r="128" spans="1:20" ht="18">
      <c r="A128" s="153"/>
      <c r="B128" s="40"/>
      <c r="C128" s="41"/>
      <c r="D128" s="41"/>
      <c r="E128" s="41"/>
      <c r="F128" s="41"/>
      <c r="G128" s="40"/>
      <c r="H128" s="41"/>
      <c r="I128" s="56"/>
      <c r="J128" s="40"/>
      <c r="K128" s="40"/>
      <c r="L128" s="40"/>
      <c r="M128" s="40"/>
      <c r="N128" s="40"/>
      <c r="O128" s="40"/>
      <c r="P128" s="40"/>
      <c r="Q128" s="40"/>
      <c r="R128" s="56"/>
      <c r="S128" s="235"/>
    </row>
    <row r="129" spans="1:19" ht="18">
      <c r="A129" s="153"/>
      <c r="B129" s="40"/>
      <c r="C129" s="41"/>
      <c r="D129" s="41"/>
      <c r="E129" s="41"/>
      <c r="F129" s="41"/>
      <c r="G129" s="40"/>
      <c r="H129" s="40"/>
      <c r="I129" s="56"/>
      <c r="J129" s="40"/>
      <c r="K129" s="40"/>
      <c r="L129" s="40"/>
      <c r="M129" s="40"/>
      <c r="N129" s="40"/>
      <c r="O129" s="40"/>
      <c r="P129" s="40"/>
      <c r="Q129" s="40"/>
      <c r="R129" s="56"/>
      <c r="S129" s="235"/>
    </row>
    <row r="130" spans="1:19" ht="18">
      <c r="A130" s="153"/>
      <c r="B130" s="40"/>
      <c r="C130" s="41"/>
      <c r="D130" s="40"/>
      <c r="E130" s="40"/>
      <c r="F130" s="40"/>
      <c r="G130" s="40"/>
      <c r="H130" s="40"/>
      <c r="I130" s="56"/>
      <c r="J130" s="40"/>
      <c r="K130" s="40"/>
      <c r="L130" s="40"/>
      <c r="M130" s="40"/>
      <c r="N130" s="40"/>
      <c r="O130" s="40"/>
      <c r="P130" s="40"/>
      <c r="Q130" s="40"/>
      <c r="R130" s="56"/>
    </row>
    <row r="131" spans="1:19" ht="18">
      <c r="A131" s="153"/>
      <c r="B131" s="40"/>
      <c r="C131" s="41"/>
      <c r="D131" s="41"/>
      <c r="E131" s="41"/>
      <c r="F131" s="41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56"/>
    </row>
    <row r="132" spans="1:19" ht="18">
      <c r="A132" s="153"/>
      <c r="B132" s="40"/>
      <c r="C132" s="41"/>
      <c r="D132" s="41"/>
      <c r="E132" s="41"/>
      <c r="F132" s="41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56"/>
    </row>
    <row r="133" spans="1:19" ht="18">
      <c r="A133" s="153"/>
      <c r="B133" s="40"/>
      <c r="C133" s="41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56"/>
    </row>
    <row r="134" spans="1:19" ht="18">
      <c r="A134" s="153"/>
      <c r="B134" s="40"/>
      <c r="C134" s="41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56"/>
    </row>
    <row r="135" spans="1:19" ht="18">
      <c r="A135" s="153"/>
      <c r="B135" s="40"/>
      <c r="C135" s="41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56"/>
    </row>
  </sheetData>
  <mergeCells count="38">
    <mergeCell ref="C32:D32"/>
    <mergeCell ref="J32:L32"/>
    <mergeCell ref="N32:O32"/>
    <mergeCell ref="R32:R33"/>
    <mergeCell ref="N62:O62"/>
    <mergeCell ref="R62:R63"/>
    <mergeCell ref="E32:F32"/>
    <mergeCell ref="E62:F62"/>
    <mergeCell ref="C122:D122"/>
    <mergeCell ref="F122:G122"/>
    <mergeCell ref="H122:J122"/>
    <mergeCell ref="R122:R123"/>
    <mergeCell ref="N117:R117"/>
    <mergeCell ref="A118:R118"/>
    <mergeCell ref="A119:R119"/>
    <mergeCell ref="A120:R120"/>
    <mergeCell ref="A117:F117"/>
    <mergeCell ref="A115:F115"/>
    <mergeCell ref="G115:M115"/>
    <mergeCell ref="N115:R115"/>
    <mergeCell ref="A116:F116"/>
    <mergeCell ref="G116:M116"/>
    <mergeCell ref="N116:R116"/>
    <mergeCell ref="C92:D92"/>
    <mergeCell ref="J92:L92"/>
    <mergeCell ref="N92:O92"/>
    <mergeCell ref="R92:R93"/>
    <mergeCell ref="C62:D62"/>
    <mergeCell ref="J62:L62"/>
    <mergeCell ref="E92:F92"/>
    <mergeCell ref="A1:R1"/>
    <mergeCell ref="A2:R2"/>
    <mergeCell ref="A3:R3"/>
    <mergeCell ref="C5:D5"/>
    <mergeCell ref="N5:O5"/>
    <mergeCell ref="R5:R6"/>
    <mergeCell ref="J5:L5"/>
    <mergeCell ref="E5:F5"/>
  </mergeCells>
  <phoneticPr fontId="3" type="noConversion"/>
  <pageMargins left="0.16" right="0.15" top="0.75" bottom="0.64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28" sqref="B28"/>
    </sheetView>
  </sheetViews>
  <sheetFormatPr defaultRowHeight="23.25"/>
  <cols>
    <col min="1" max="1" width="7.7109375" style="1" customWidth="1"/>
    <col min="2" max="2" width="26.5703125" style="1" customWidth="1"/>
    <col min="3" max="3" width="13.85546875" style="1" customWidth="1"/>
    <col min="4" max="4" width="12" style="1" customWidth="1"/>
    <col min="5" max="5" width="9.140625" style="1"/>
    <col min="6" max="6" width="29.85546875" style="1" customWidth="1"/>
    <col min="7" max="7" width="15.140625" style="1" customWidth="1"/>
    <col min="8" max="16384" width="9.140625" style="1"/>
  </cols>
  <sheetData>
    <row r="1" spans="1:7">
      <c r="A1" s="531" t="s">
        <v>362</v>
      </c>
      <c r="B1" s="531"/>
      <c r="C1" s="531"/>
      <c r="E1" s="531" t="s">
        <v>362</v>
      </c>
      <c r="F1" s="531"/>
      <c r="G1" s="531"/>
    </row>
    <row r="2" spans="1:7">
      <c r="A2" s="531" t="s">
        <v>363</v>
      </c>
      <c r="B2" s="531"/>
      <c r="C2" s="531"/>
      <c r="E2" s="531" t="s">
        <v>372</v>
      </c>
      <c r="F2" s="531"/>
      <c r="G2" s="531"/>
    </row>
    <row r="3" spans="1:7">
      <c r="A3" s="3" t="s">
        <v>364</v>
      </c>
      <c r="B3" s="3" t="s">
        <v>18</v>
      </c>
      <c r="C3" s="3" t="s">
        <v>47</v>
      </c>
      <c r="E3" s="3" t="s">
        <v>364</v>
      </c>
      <c r="F3" s="3" t="s">
        <v>18</v>
      </c>
      <c r="G3" s="3" t="s">
        <v>47</v>
      </c>
    </row>
    <row r="4" spans="1:7">
      <c r="A4" s="298">
        <v>1</v>
      </c>
      <c r="B4" s="297" t="s">
        <v>365</v>
      </c>
      <c r="C4" s="299">
        <v>48040.95</v>
      </c>
      <c r="E4" s="298">
        <v>1</v>
      </c>
      <c r="F4" s="297" t="s">
        <v>365</v>
      </c>
      <c r="G4" s="299">
        <v>9441.01</v>
      </c>
    </row>
    <row r="5" spans="1:7">
      <c r="A5" s="298">
        <v>2</v>
      </c>
      <c r="B5" s="297" t="s">
        <v>366</v>
      </c>
      <c r="C5" s="299">
        <v>324</v>
      </c>
      <c r="E5" s="298">
        <v>2</v>
      </c>
      <c r="F5" s="297" t="s">
        <v>366</v>
      </c>
      <c r="G5" s="299">
        <v>1235</v>
      </c>
    </row>
    <row r="6" spans="1:7">
      <c r="A6" s="298">
        <v>3</v>
      </c>
      <c r="B6" s="297" t="s">
        <v>367</v>
      </c>
      <c r="C6" s="299">
        <v>1711</v>
      </c>
      <c r="E6" s="298">
        <v>3</v>
      </c>
      <c r="F6" s="297" t="s">
        <v>373</v>
      </c>
      <c r="G6" s="299">
        <v>930</v>
      </c>
    </row>
    <row r="7" spans="1:7">
      <c r="A7" s="298">
        <v>4</v>
      </c>
      <c r="B7" s="297" t="s">
        <v>368</v>
      </c>
      <c r="C7" s="299">
        <v>9568</v>
      </c>
      <c r="E7" s="298">
        <v>4</v>
      </c>
      <c r="F7" s="297" t="s">
        <v>368</v>
      </c>
      <c r="G7" s="299">
        <v>24519</v>
      </c>
    </row>
    <row r="8" spans="1:7">
      <c r="A8" s="298">
        <v>5</v>
      </c>
      <c r="B8" s="297" t="s">
        <v>369</v>
      </c>
      <c r="C8" s="299">
        <v>355</v>
      </c>
      <c r="E8" s="298">
        <v>5</v>
      </c>
      <c r="F8" s="297" t="s">
        <v>369</v>
      </c>
      <c r="G8" s="299">
        <v>51</v>
      </c>
    </row>
    <row r="9" spans="1:7">
      <c r="A9" s="298">
        <v>6</v>
      </c>
      <c r="B9" s="297" t="s">
        <v>370</v>
      </c>
      <c r="C9" s="299">
        <v>7660</v>
      </c>
      <c r="E9" s="298">
        <v>6</v>
      </c>
      <c r="F9" s="297" t="s">
        <v>374</v>
      </c>
      <c r="G9" s="299">
        <v>350</v>
      </c>
    </row>
    <row r="10" spans="1:7">
      <c r="A10" s="298">
        <v>7</v>
      </c>
      <c r="B10" s="297" t="s">
        <v>371</v>
      </c>
      <c r="C10" s="299">
        <v>8800</v>
      </c>
      <c r="E10" s="298">
        <v>7</v>
      </c>
      <c r="F10" s="297" t="s">
        <v>371</v>
      </c>
      <c r="G10" s="299">
        <v>23988</v>
      </c>
    </row>
    <row r="11" spans="1:7">
      <c r="A11" s="298">
        <v>8</v>
      </c>
      <c r="B11" s="297" t="s">
        <v>348</v>
      </c>
      <c r="C11" s="299">
        <v>1478.83</v>
      </c>
      <c r="E11" s="298">
        <v>8</v>
      </c>
      <c r="F11" s="297" t="s">
        <v>348</v>
      </c>
      <c r="G11" s="299">
        <v>1478.64</v>
      </c>
    </row>
    <row r="12" spans="1:7" ht="24" thickBot="1">
      <c r="B12" s="2" t="s">
        <v>41</v>
      </c>
      <c r="C12" s="465">
        <f>SUM(C4:C11)</f>
        <v>77937.78</v>
      </c>
      <c r="E12" s="9"/>
      <c r="F12" s="14" t="s">
        <v>41</v>
      </c>
      <c r="G12" s="465">
        <f>SUM(G4:G11)</f>
        <v>61992.65</v>
      </c>
    </row>
    <row r="13" spans="1:7" ht="24" thickTop="1">
      <c r="E13" s="12"/>
      <c r="F13" s="14"/>
      <c r="G13" s="12"/>
    </row>
    <row r="14" spans="1:7">
      <c r="A14" s="531" t="s">
        <v>376</v>
      </c>
      <c r="B14" s="531"/>
      <c r="C14" s="531"/>
      <c r="E14" s="531" t="s">
        <v>362</v>
      </c>
      <c r="F14" s="531"/>
      <c r="G14" s="531"/>
    </row>
    <row r="15" spans="1:7">
      <c r="A15" s="531" t="s">
        <v>377</v>
      </c>
      <c r="B15" s="531"/>
      <c r="C15" s="531"/>
      <c r="E15" s="531" t="s">
        <v>558</v>
      </c>
      <c r="F15" s="531"/>
      <c r="G15" s="531"/>
    </row>
    <row r="16" spans="1:7">
      <c r="A16" s="3" t="s">
        <v>364</v>
      </c>
      <c r="B16" s="3" t="s">
        <v>18</v>
      </c>
      <c r="C16" s="3" t="s">
        <v>47</v>
      </c>
      <c r="E16" s="3" t="s">
        <v>364</v>
      </c>
      <c r="F16" s="3" t="s">
        <v>18</v>
      </c>
      <c r="G16" s="3" t="s">
        <v>47</v>
      </c>
    </row>
    <row r="17" spans="1:7">
      <c r="A17" s="298">
        <v>1</v>
      </c>
      <c r="B17" s="297" t="s">
        <v>375</v>
      </c>
      <c r="C17" s="299">
        <v>11600</v>
      </c>
      <c r="E17" s="298">
        <v>1</v>
      </c>
      <c r="F17" s="297" t="s">
        <v>559</v>
      </c>
      <c r="G17" s="299">
        <v>28485.16</v>
      </c>
    </row>
    <row r="18" spans="1:7">
      <c r="A18" s="298">
        <v>2</v>
      </c>
      <c r="B18" s="297" t="s">
        <v>518</v>
      </c>
      <c r="C18" s="523">
        <v>3000</v>
      </c>
      <c r="E18" s="298">
        <v>2</v>
      </c>
      <c r="F18" s="297" t="s">
        <v>373</v>
      </c>
      <c r="G18" s="299">
        <v>1860</v>
      </c>
    </row>
    <row r="19" spans="1:7" ht="24" thickBot="1">
      <c r="A19" s="9"/>
      <c r="B19" s="2" t="s">
        <v>41</v>
      </c>
      <c r="C19" s="465">
        <f>SUM(C17:C18)</f>
        <v>14600</v>
      </c>
      <c r="E19" s="298">
        <v>3</v>
      </c>
      <c r="F19" s="297" t="s">
        <v>370</v>
      </c>
      <c r="G19" s="299">
        <v>3150</v>
      </c>
    </row>
    <row r="20" spans="1:7" ht="24" thickTop="1">
      <c r="A20" s="9"/>
      <c r="B20" s="12"/>
      <c r="C20" s="13"/>
      <c r="E20" s="298">
        <v>4</v>
      </c>
      <c r="F20" s="297" t="s">
        <v>375</v>
      </c>
      <c r="G20" s="299">
        <v>12000</v>
      </c>
    </row>
    <row r="21" spans="1:7">
      <c r="A21" s="9"/>
      <c r="B21" s="12"/>
      <c r="C21" s="13"/>
      <c r="E21" s="298">
        <v>5</v>
      </c>
      <c r="F21" s="297" t="s">
        <v>365</v>
      </c>
      <c r="G21" s="299">
        <v>48096</v>
      </c>
    </row>
    <row r="22" spans="1:7">
      <c r="E22" s="298">
        <v>6</v>
      </c>
      <c r="F22" s="297" t="s">
        <v>560</v>
      </c>
      <c r="G22" s="299">
        <v>1424.25</v>
      </c>
    </row>
    <row r="23" spans="1:7">
      <c r="E23" s="298">
        <v>7</v>
      </c>
      <c r="F23" s="297" t="s">
        <v>561</v>
      </c>
      <c r="G23" s="299">
        <v>10120</v>
      </c>
    </row>
    <row r="24" spans="1:7" ht="24" thickBot="1">
      <c r="E24" s="9"/>
      <c r="F24" s="14" t="s">
        <v>41</v>
      </c>
      <c r="G24" s="465">
        <f>SUM(G17:G23)</f>
        <v>105135.41</v>
      </c>
    </row>
    <row r="25" spans="1:7" ht="24" thickTop="1">
      <c r="B25" s="1" t="s">
        <v>90</v>
      </c>
      <c r="C25" s="23">
        <f>C12+G12+C19+G24</f>
        <v>259665.84</v>
      </c>
    </row>
  </sheetData>
  <mergeCells count="8">
    <mergeCell ref="A1:C1"/>
    <mergeCell ref="A2:C2"/>
    <mergeCell ref="A14:C14"/>
    <mergeCell ref="A15:C15"/>
    <mergeCell ref="E1:G1"/>
    <mergeCell ref="E2:G2"/>
    <mergeCell ref="E14:G14"/>
    <mergeCell ref="E15:G15"/>
  </mergeCells>
  <pageMargins left="0.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D32" sqref="D32"/>
    </sheetView>
  </sheetViews>
  <sheetFormatPr defaultRowHeight="24.95" customHeight="1"/>
  <cols>
    <col min="1" max="1" width="40" style="1" customWidth="1"/>
    <col min="2" max="2" width="2.5703125" style="1" customWidth="1"/>
    <col min="3" max="3" width="14.42578125" style="1" customWidth="1"/>
    <col min="4" max="4" width="17.140625" style="1" customWidth="1"/>
    <col min="5" max="5" width="9.140625" style="1"/>
    <col min="6" max="6" width="7.5703125" style="1" customWidth="1"/>
    <col min="7" max="7" width="9.140625" style="1" hidden="1" customWidth="1"/>
    <col min="8" max="16384" width="9.140625" style="1"/>
  </cols>
  <sheetData>
    <row r="1" spans="1:7" ht="24.95" customHeight="1">
      <c r="A1" s="628" t="s">
        <v>53</v>
      </c>
      <c r="B1" s="628"/>
      <c r="C1" s="628"/>
      <c r="D1" s="628"/>
      <c r="E1" s="628"/>
      <c r="F1" s="628"/>
      <c r="G1" s="628"/>
    </row>
    <row r="2" spans="1:7" ht="24.95" customHeight="1">
      <c r="A2" s="629" t="s">
        <v>448</v>
      </c>
      <c r="B2" s="629"/>
      <c r="C2" s="629"/>
      <c r="D2" s="629"/>
      <c r="E2" s="629"/>
      <c r="F2" s="629"/>
      <c r="G2" s="629"/>
    </row>
    <row r="3" spans="1:7" ht="24.95" customHeight="1">
      <c r="A3" s="629" t="s">
        <v>449</v>
      </c>
      <c r="B3" s="629"/>
      <c r="C3" s="629"/>
      <c r="D3" s="629"/>
      <c r="E3" s="629"/>
      <c r="F3" s="629"/>
      <c r="G3" s="629"/>
    </row>
    <row r="4" spans="1:7" ht="24.95" customHeight="1">
      <c r="A4" s="629" t="s">
        <v>450</v>
      </c>
      <c r="B4" s="629"/>
      <c r="C4" s="629"/>
      <c r="D4" s="629"/>
      <c r="E4" s="629"/>
      <c r="F4" s="629"/>
      <c r="G4" s="629"/>
    </row>
    <row r="5" spans="1:7" ht="24.95" customHeight="1">
      <c r="A5" s="180"/>
      <c r="B5" s="180"/>
      <c r="C5" s="180"/>
      <c r="D5" s="180"/>
      <c r="E5" s="180"/>
      <c r="F5" s="180"/>
      <c r="G5" s="180"/>
    </row>
    <row r="6" spans="1:7" ht="24.95" customHeight="1">
      <c r="A6" s="630" t="s">
        <v>18</v>
      </c>
      <c r="B6" s="631"/>
      <c r="C6" s="504" t="s">
        <v>1</v>
      </c>
      <c r="D6" s="504" t="s">
        <v>2</v>
      </c>
      <c r="E6" s="630" t="s">
        <v>3</v>
      </c>
      <c r="F6" s="632"/>
      <c r="G6" s="631"/>
    </row>
    <row r="7" spans="1:7" ht="24.95" customHeight="1">
      <c r="A7" s="633" t="s">
        <v>49</v>
      </c>
      <c r="B7" s="634"/>
      <c r="C7" s="505" t="s">
        <v>451</v>
      </c>
      <c r="D7" s="506">
        <v>1150</v>
      </c>
      <c r="E7" s="635">
        <v>0</v>
      </c>
      <c r="F7" s="636"/>
      <c r="G7" s="637"/>
    </row>
    <row r="8" spans="1:7" ht="24.95" customHeight="1">
      <c r="A8" s="633" t="s">
        <v>452</v>
      </c>
      <c r="B8" s="634"/>
      <c r="C8" s="505" t="s">
        <v>453</v>
      </c>
      <c r="D8" s="506">
        <v>3577544.03</v>
      </c>
      <c r="E8" s="635">
        <v>0</v>
      </c>
      <c r="F8" s="636"/>
      <c r="G8" s="637"/>
    </row>
    <row r="9" spans="1:7" ht="24.95" customHeight="1">
      <c r="A9" s="633" t="s">
        <v>454</v>
      </c>
      <c r="B9" s="634"/>
      <c r="C9" s="505" t="s">
        <v>453</v>
      </c>
      <c r="D9" s="506">
        <v>2322294.41</v>
      </c>
      <c r="E9" s="635">
        <v>0</v>
      </c>
      <c r="F9" s="636"/>
      <c r="G9" s="637"/>
    </row>
    <row r="10" spans="1:7" ht="24.95" customHeight="1">
      <c r="A10" s="633" t="s">
        <v>455</v>
      </c>
      <c r="B10" s="634"/>
      <c r="C10" s="505" t="s">
        <v>453</v>
      </c>
      <c r="D10" s="506">
        <v>25732046.09</v>
      </c>
      <c r="E10" s="635">
        <v>0</v>
      </c>
      <c r="F10" s="636"/>
      <c r="G10" s="637"/>
    </row>
    <row r="11" spans="1:7" ht="24.95" customHeight="1">
      <c r="A11" s="633" t="s">
        <v>456</v>
      </c>
      <c r="B11" s="634"/>
      <c r="C11" s="505" t="s">
        <v>457</v>
      </c>
      <c r="D11" s="506">
        <v>5151599.9800000004</v>
      </c>
      <c r="E11" s="635">
        <v>0</v>
      </c>
      <c r="F11" s="636"/>
      <c r="G11" s="637"/>
    </row>
    <row r="12" spans="1:7" ht="24.95" customHeight="1">
      <c r="A12" s="633" t="s">
        <v>458</v>
      </c>
      <c r="B12" s="634"/>
      <c r="C12" s="505" t="s">
        <v>459</v>
      </c>
      <c r="D12" s="506">
        <v>124000</v>
      </c>
      <c r="E12" s="635">
        <v>0</v>
      </c>
      <c r="F12" s="636"/>
      <c r="G12" s="637"/>
    </row>
    <row r="13" spans="1:7" ht="24.95" customHeight="1">
      <c r="A13" s="633" t="s">
        <v>460</v>
      </c>
      <c r="B13" s="634"/>
      <c r="C13" s="505" t="s">
        <v>461</v>
      </c>
      <c r="D13" s="506">
        <v>4501748.07</v>
      </c>
      <c r="E13" s="635">
        <v>0</v>
      </c>
      <c r="F13" s="636"/>
      <c r="G13" s="637"/>
    </row>
    <row r="14" spans="1:7" ht="24.95" customHeight="1">
      <c r="A14" s="633" t="s">
        <v>180</v>
      </c>
      <c r="B14" s="634"/>
      <c r="C14" s="505" t="s">
        <v>462</v>
      </c>
      <c r="D14" s="506">
        <v>97868.05</v>
      </c>
      <c r="E14" s="635">
        <v>0</v>
      </c>
      <c r="F14" s="636"/>
      <c r="G14" s="637"/>
    </row>
    <row r="15" spans="1:7" ht="24.95" customHeight="1">
      <c r="A15" s="633" t="s">
        <v>181</v>
      </c>
      <c r="B15" s="634"/>
      <c r="C15" s="505">
        <v>11045000</v>
      </c>
      <c r="D15" s="506">
        <v>587323</v>
      </c>
      <c r="E15" s="638"/>
      <c r="F15" s="639"/>
      <c r="G15" s="640"/>
    </row>
    <row r="16" spans="1:7" ht="24.95" customHeight="1">
      <c r="A16" s="633" t="s">
        <v>135</v>
      </c>
      <c r="B16" s="634"/>
      <c r="C16" s="505" t="s">
        <v>463</v>
      </c>
      <c r="D16" s="506">
        <v>12998900</v>
      </c>
      <c r="E16" s="635">
        <v>0</v>
      </c>
      <c r="F16" s="636"/>
      <c r="G16" s="637"/>
    </row>
    <row r="17" spans="1:7" ht="24.95" customHeight="1">
      <c r="A17" s="633" t="s">
        <v>433</v>
      </c>
      <c r="B17" s="634"/>
      <c r="C17" s="505" t="s">
        <v>464</v>
      </c>
      <c r="D17" s="506">
        <v>0</v>
      </c>
      <c r="E17" s="635">
        <v>3629714.08</v>
      </c>
      <c r="F17" s="636"/>
      <c r="G17" s="637"/>
    </row>
    <row r="18" spans="1:7" ht="24.95" customHeight="1">
      <c r="A18" s="633" t="s">
        <v>465</v>
      </c>
      <c r="B18" s="634"/>
      <c r="C18" s="505" t="s">
        <v>466</v>
      </c>
      <c r="D18" s="506">
        <v>0</v>
      </c>
      <c r="E18" s="635">
        <v>8454.0499999999993</v>
      </c>
      <c r="F18" s="636"/>
      <c r="G18" s="637"/>
    </row>
    <row r="19" spans="1:7" ht="24.95" customHeight="1">
      <c r="A19" s="633" t="s">
        <v>467</v>
      </c>
      <c r="B19" s="634"/>
      <c r="C19" s="505" t="s">
        <v>468</v>
      </c>
      <c r="D19" s="506">
        <v>0</v>
      </c>
      <c r="E19" s="635">
        <v>100895.35</v>
      </c>
      <c r="F19" s="636"/>
      <c r="G19" s="637"/>
    </row>
    <row r="20" spans="1:7" ht="24.95" customHeight="1">
      <c r="A20" s="633" t="s">
        <v>469</v>
      </c>
      <c r="B20" s="634"/>
      <c r="C20" s="505" t="s">
        <v>470</v>
      </c>
      <c r="D20" s="506">
        <v>0</v>
      </c>
      <c r="E20" s="635">
        <f>332815+26750</f>
        <v>359565</v>
      </c>
      <c r="F20" s="636"/>
      <c r="G20" s="637"/>
    </row>
    <row r="21" spans="1:7" ht="24.95" customHeight="1">
      <c r="A21" s="633" t="s">
        <v>247</v>
      </c>
      <c r="B21" s="634"/>
      <c r="C21" s="505" t="s">
        <v>471</v>
      </c>
      <c r="D21" s="506">
        <v>0</v>
      </c>
      <c r="E21" s="635">
        <f>105135.41+154530.43</f>
        <v>259665.84</v>
      </c>
      <c r="F21" s="636"/>
      <c r="G21" s="637"/>
    </row>
    <row r="22" spans="1:7" ht="24.95" customHeight="1">
      <c r="A22" s="633" t="s">
        <v>186</v>
      </c>
      <c r="B22" s="634"/>
      <c r="C22" s="505" t="s">
        <v>472</v>
      </c>
      <c r="D22" s="506">
        <v>0</v>
      </c>
      <c r="E22" s="635">
        <f>68208+587323+3425</f>
        <v>658956</v>
      </c>
      <c r="F22" s="636"/>
      <c r="G22" s="637"/>
    </row>
    <row r="23" spans="1:7" ht="24.95" customHeight="1">
      <c r="A23" s="633" t="s">
        <v>473</v>
      </c>
      <c r="B23" s="634"/>
      <c r="C23" s="505" t="s">
        <v>474</v>
      </c>
      <c r="D23" s="506">
        <v>0</v>
      </c>
      <c r="E23" s="635">
        <v>30400</v>
      </c>
      <c r="F23" s="636"/>
      <c r="G23" s="637"/>
    </row>
    <row r="24" spans="1:7" ht="24.95" customHeight="1">
      <c r="A24" s="633" t="s">
        <v>475</v>
      </c>
      <c r="B24" s="634"/>
      <c r="C24" s="505" t="s">
        <v>476</v>
      </c>
      <c r="D24" s="506">
        <v>0</v>
      </c>
      <c r="E24" s="635">
        <v>6978867.2999999998</v>
      </c>
      <c r="F24" s="636"/>
      <c r="G24" s="637"/>
    </row>
    <row r="25" spans="1:7" ht="24.95" customHeight="1">
      <c r="A25" s="633" t="s">
        <v>9</v>
      </c>
      <c r="B25" s="634"/>
      <c r="C25" s="505" t="s">
        <v>477</v>
      </c>
      <c r="D25" s="506">
        <v>0</v>
      </c>
      <c r="E25" s="635">
        <v>25400422.280000001</v>
      </c>
      <c r="F25" s="636"/>
      <c r="G25" s="637"/>
    </row>
    <row r="26" spans="1:7" ht="24.95" customHeight="1">
      <c r="A26" s="641" t="s">
        <v>10</v>
      </c>
      <c r="B26" s="642"/>
      <c r="C26" s="507" t="s">
        <v>478</v>
      </c>
      <c r="D26" s="508">
        <v>0</v>
      </c>
      <c r="E26" s="643">
        <v>17667533.73</v>
      </c>
      <c r="F26" s="644"/>
      <c r="G26" s="645"/>
    </row>
    <row r="27" spans="1:7" ht="24.95" customHeight="1" thickBot="1">
      <c r="A27" s="646" t="s">
        <v>41</v>
      </c>
      <c r="B27" s="647"/>
      <c r="C27" s="648"/>
      <c r="D27" s="509">
        <f>SUM(D7:D26)</f>
        <v>55094473.630000003</v>
      </c>
      <c r="E27" s="649">
        <f>SUM(E7:E26)</f>
        <v>55094473.63000001</v>
      </c>
      <c r="F27" s="650"/>
      <c r="G27" s="651"/>
    </row>
    <row r="28" spans="1:7" ht="24.95" customHeight="1" thickTop="1">
      <c r="A28" s="180"/>
      <c r="B28" s="180"/>
      <c r="C28" s="180"/>
      <c r="D28" s="180"/>
      <c r="E28" s="180"/>
      <c r="F28" s="180"/>
      <c r="G28" s="180"/>
    </row>
    <row r="29" spans="1:7" ht="24.95" customHeight="1">
      <c r="A29" s="180"/>
      <c r="B29" s="180"/>
      <c r="C29" s="180"/>
      <c r="D29" s="180"/>
      <c r="E29" s="180"/>
      <c r="F29" s="180"/>
      <c r="G29" s="180"/>
    </row>
    <row r="30" spans="1:7" ht="24.95" customHeight="1">
      <c r="A30" s="180"/>
      <c r="B30" s="610" t="s">
        <v>562</v>
      </c>
      <c r="C30" s="610"/>
      <c r="D30" s="610"/>
      <c r="E30" s="180"/>
      <c r="F30" s="180"/>
      <c r="G30" s="180"/>
    </row>
    <row r="31" spans="1:7" ht="24.95" customHeight="1">
      <c r="A31" s="180"/>
      <c r="B31" s="610" t="s">
        <v>125</v>
      </c>
      <c r="C31" s="610"/>
      <c r="D31" s="610"/>
      <c r="E31" s="180"/>
      <c r="F31" s="180"/>
      <c r="G31" s="180"/>
    </row>
    <row r="32" spans="1:7" ht="24.95" customHeight="1">
      <c r="A32" s="180"/>
      <c r="B32" s="180"/>
      <c r="C32" s="180"/>
      <c r="D32" s="180"/>
      <c r="E32" s="180"/>
      <c r="F32" s="180"/>
      <c r="G32" s="180"/>
    </row>
  </sheetData>
  <mergeCells count="50">
    <mergeCell ref="B30:D30"/>
    <mergeCell ref="B31:D31"/>
    <mergeCell ref="A25:B25"/>
    <mergeCell ref="E25:G25"/>
    <mergeCell ref="A26:B26"/>
    <mergeCell ref="E26:G26"/>
    <mergeCell ref="A27:C27"/>
    <mergeCell ref="E27:G27"/>
    <mergeCell ref="A22:B22"/>
    <mergeCell ref="E22:G22"/>
    <mergeCell ref="A23:B23"/>
    <mergeCell ref="E23:G23"/>
    <mergeCell ref="A24:B24"/>
    <mergeCell ref="E24:G24"/>
    <mergeCell ref="A19:B19"/>
    <mergeCell ref="E19:G19"/>
    <mergeCell ref="A20:B20"/>
    <mergeCell ref="E20:G20"/>
    <mergeCell ref="A21:B21"/>
    <mergeCell ref="E21:G21"/>
    <mergeCell ref="A16:B16"/>
    <mergeCell ref="E16:G16"/>
    <mergeCell ref="A17:B17"/>
    <mergeCell ref="E17:G17"/>
    <mergeCell ref="A18:B18"/>
    <mergeCell ref="E18:G18"/>
    <mergeCell ref="A13:B13"/>
    <mergeCell ref="E13:G13"/>
    <mergeCell ref="A14:B14"/>
    <mergeCell ref="E14:G14"/>
    <mergeCell ref="A15:B15"/>
    <mergeCell ref="E15:G15"/>
    <mergeCell ref="A10:B10"/>
    <mergeCell ref="E10:G10"/>
    <mergeCell ref="A11:B11"/>
    <mergeCell ref="E11:G11"/>
    <mergeCell ref="A12:B12"/>
    <mergeCell ref="E12:G12"/>
    <mergeCell ref="A7:B7"/>
    <mergeCell ref="E7:G7"/>
    <mergeCell ref="A8:B8"/>
    <mergeCell ref="E8:G8"/>
    <mergeCell ref="A9:B9"/>
    <mergeCell ref="E9:G9"/>
    <mergeCell ref="A1:G1"/>
    <mergeCell ref="A2:G2"/>
    <mergeCell ref="A3:G3"/>
    <mergeCell ref="A4:G4"/>
    <mergeCell ref="A6:B6"/>
    <mergeCell ref="E6:G6"/>
  </mergeCells>
  <pageMargins left="0.46" right="0.27" top="0.38" bottom="0.33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84"/>
  <sheetViews>
    <sheetView topLeftCell="A70" workbookViewId="0">
      <selection activeCell="C84" sqref="C84"/>
    </sheetView>
  </sheetViews>
  <sheetFormatPr defaultRowHeight="24.95" customHeight="1"/>
  <cols>
    <col min="1" max="1" width="50.140625" style="1" customWidth="1"/>
    <col min="2" max="2" width="3" style="1" hidden="1" customWidth="1"/>
    <col min="3" max="3" width="12" style="1" customWidth="1"/>
    <col min="4" max="4" width="16.28515625" style="1" customWidth="1"/>
    <col min="5" max="5" width="12" style="1" customWidth="1"/>
    <col min="6" max="6" width="5.5703125" style="1" customWidth="1"/>
    <col min="7" max="7" width="0.28515625" style="1" customWidth="1"/>
    <col min="8" max="16384" width="9.140625" style="1"/>
  </cols>
  <sheetData>
    <row r="1" spans="1:7" ht="24.95" customHeight="1">
      <c r="A1" s="628" t="s">
        <v>53</v>
      </c>
      <c r="B1" s="652"/>
      <c r="C1" s="652"/>
      <c r="D1" s="652"/>
      <c r="E1" s="652"/>
      <c r="F1" s="652"/>
      <c r="G1" s="180"/>
    </row>
    <row r="2" spans="1:7" ht="24.95" customHeight="1">
      <c r="A2" s="629" t="s">
        <v>0</v>
      </c>
      <c r="B2" s="652"/>
      <c r="C2" s="652"/>
      <c r="D2" s="652"/>
      <c r="E2" s="652"/>
      <c r="F2" s="652"/>
      <c r="G2" s="180"/>
    </row>
    <row r="3" spans="1:7" ht="24.95" customHeight="1">
      <c r="A3" s="629" t="s">
        <v>449</v>
      </c>
      <c r="B3" s="652"/>
      <c r="C3" s="652"/>
      <c r="D3" s="652"/>
      <c r="E3" s="652"/>
      <c r="F3" s="652"/>
      <c r="G3" s="180"/>
    </row>
    <row r="4" spans="1:7" ht="24.95" customHeight="1">
      <c r="A4" s="629" t="s">
        <v>450</v>
      </c>
      <c r="B4" s="652"/>
      <c r="C4" s="652"/>
      <c r="D4" s="652"/>
      <c r="E4" s="652"/>
      <c r="F4" s="652"/>
      <c r="G4" s="180"/>
    </row>
    <row r="5" spans="1:7" ht="24.95" customHeight="1">
      <c r="A5" s="180"/>
      <c r="B5" s="180"/>
      <c r="C5" s="180"/>
      <c r="D5" s="180"/>
      <c r="E5" s="180"/>
      <c r="F5" s="180"/>
      <c r="G5" s="180"/>
    </row>
    <row r="6" spans="1:7" ht="24.95" customHeight="1">
      <c r="A6" s="653" t="s">
        <v>18</v>
      </c>
      <c r="B6" s="654"/>
      <c r="C6" s="504" t="s">
        <v>1</v>
      </c>
      <c r="D6" s="504" t="s">
        <v>2</v>
      </c>
      <c r="E6" s="653" t="s">
        <v>3</v>
      </c>
      <c r="F6" s="655"/>
      <c r="G6" s="654"/>
    </row>
    <row r="7" spans="1:7" ht="24.95" customHeight="1">
      <c r="A7" s="656" t="s">
        <v>49</v>
      </c>
      <c r="B7" s="654"/>
      <c r="C7" s="505" t="s">
        <v>451</v>
      </c>
      <c r="D7" s="506">
        <v>1150</v>
      </c>
      <c r="E7" s="657">
        <v>0</v>
      </c>
      <c r="F7" s="655"/>
      <c r="G7" s="654"/>
    </row>
    <row r="8" spans="1:7" ht="24.95" customHeight="1">
      <c r="A8" s="656" t="s">
        <v>452</v>
      </c>
      <c r="B8" s="654"/>
      <c r="C8" s="505" t="s">
        <v>453</v>
      </c>
      <c r="D8" s="506">
        <v>3577544.03</v>
      </c>
      <c r="E8" s="657">
        <v>0</v>
      </c>
      <c r="F8" s="655"/>
      <c r="G8" s="654"/>
    </row>
    <row r="9" spans="1:7" ht="24.95" customHeight="1">
      <c r="A9" s="656" t="s">
        <v>454</v>
      </c>
      <c r="B9" s="654"/>
      <c r="C9" s="505" t="s">
        <v>453</v>
      </c>
      <c r="D9" s="506">
        <v>2322294.41</v>
      </c>
      <c r="E9" s="657">
        <v>0</v>
      </c>
      <c r="F9" s="655"/>
      <c r="G9" s="654"/>
    </row>
    <row r="10" spans="1:7" ht="24.95" customHeight="1">
      <c r="A10" s="656" t="s">
        <v>455</v>
      </c>
      <c r="B10" s="654"/>
      <c r="C10" s="505" t="s">
        <v>453</v>
      </c>
      <c r="D10" s="506">
        <v>25732046.09</v>
      </c>
      <c r="E10" s="657">
        <v>0</v>
      </c>
      <c r="F10" s="655"/>
      <c r="G10" s="654"/>
    </row>
    <row r="11" spans="1:7" ht="24.95" customHeight="1">
      <c r="A11" s="656" t="s">
        <v>456</v>
      </c>
      <c r="B11" s="654"/>
      <c r="C11" s="505" t="s">
        <v>457</v>
      </c>
      <c r="D11" s="506">
        <v>5151599.9800000004</v>
      </c>
      <c r="E11" s="657">
        <v>0</v>
      </c>
      <c r="F11" s="655"/>
      <c r="G11" s="654"/>
    </row>
    <row r="12" spans="1:7" ht="24.95" customHeight="1">
      <c r="A12" s="656" t="s">
        <v>458</v>
      </c>
      <c r="B12" s="654"/>
      <c r="C12" s="505" t="s">
        <v>459</v>
      </c>
      <c r="D12" s="506">
        <v>124000</v>
      </c>
      <c r="E12" s="657">
        <v>0</v>
      </c>
      <c r="F12" s="655"/>
      <c r="G12" s="654"/>
    </row>
    <row r="13" spans="1:7" ht="24.95" customHeight="1">
      <c r="A13" s="656" t="s">
        <v>460</v>
      </c>
      <c r="B13" s="654"/>
      <c r="C13" s="505" t="s">
        <v>461</v>
      </c>
      <c r="D13" s="506">
        <v>4501748.07</v>
      </c>
      <c r="E13" s="657">
        <v>0</v>
      </c>
      <c r="F13" s="655"/>
      <c r="G13" s="654"/>
    </row>
    <row r="14" spans="1:7" ht="24.95" customHeight="1">
      <c r="A14" s="656" t="s">
        <v>180</v>
      </c>
      <c r="B14" s="654"/>
      <c r="C14" s="505" t="s">
        <v>462</v>
      </c>
      <c r="D14" s="506">
        <v>97868.05</v>
      </c>
      <c r="E14" s="657">
        <v>0</v>
      </c>
      <c r="F14" s="655"/>
      <c r="G14" s="654"/>
    </row>
    <row r="15" spans="1:7" ht="24.95" customHeight="1">
      <c r="A15" s="656" t="s">
        <v>479</v>
      </c>
      <c r="B15" s="654"/>
      <c r="C15" s="505">
        <v>11045000</v>
      </c>
      <c r="D15" s="506">
        <v>587323</v>
      </c>
      <c r="E15" s="638"/>
      <c r="F15" s="639"/>
      <c r="G15" s="510"/>
    </row>
    <row r="16" spans="1:7" ht="24.95" customHeight="1">
      <c r="A16" s="656" t="s">
        <v>135</v>
      </c>
      <c r="B16" s="654"/>
      <c r="C16" s="505" t="s">
        <v>463</v>
      </c>
      <c r="D16" s="506">
        <v>12998900</v>
      </c>
      <c r="E16" s="657">
        <v>0</v>
      </c>
      <c r="F16" s="655"/>
      <c r="G16" s="654"/>
    </row>
    <row r="17" spans="1:7" ht="24.95" customHeight="1">
      <c r="A17" s="656" t="s">
        <v>433</v>
      </c>
      <c r="B17" s="654"/>
      <c r="C17" s="505" t="s">
        <v>464</v>
      </c>
      <c r="D17" s="506">
        <v>0</v>
      </c>
      <c r="E17" s="657">
        <v>3629714.08</v>
      </c>
      <c r="F17" s="655"/>
      <c r="G17" s="654"/>
    </row>
    <row r="18" spans="1:7" ht="24.95" customHeight="1">
      <c r="A18" s="656" t="s">
        <v>465</v>
      </c>
      <c r="B18" s="654"/>
      <c r="C18" s="505" t="s">
        <v>466</v>
      </c>
      <c r="D18" s="506">
        <v>0</v>
      </c>
      <c r="E18" s="657">
        <v>8454.0499999999993</v>
      </c>
      <c r="F18" s="655"/>
      <c r="G18" s="654"/>
    </row>
    <row r="19" spans="1:7" ht="24.95" customHeight="1">
      <c r="A19" s="656" t="s">
        <v>467</v>
      </c>
      <c r="B19" s="654"/>
      <c r="C19" s="505" t="s">
        <v>468</v>
      </c>
      <c r="D19" s="506">
        <v>0</v>
      </c>
      <c r="E19" s="657">
        <v>100895.35</v>
      </c>
      <c r="F19" s="655"/>
      <c r="G19" s="654"/>
    </row>
    <row r="20" spans="1:7" ht="24.95" customHeight="1">
      <c r="A20" s="656" t="s">
        <v>469</v>
      </c>
      <c r="B20" s="654"/>
      <c r="C20" s="505" t="s">
        <v>470</v>
      </c>
      <c r="D20" s="506">
        <v>0</v>
      </c>
      <c r="E20" s="657">
        <f>332815+26750</f>
        <v>359565</v>
      </c>
      <c r="F20" s="655"/>
      <c r="G20" s="654"/>
    </row>
    <row r="21" spans="1:7" ht="24.95" customHeight="1">
      <c r="A21" s="656" t="s">
        <v>247</v>
      </c>
      <c r="B21" s="654"/>
      <c r="C21" s="505" t="s">
        <v>471</v>
      </c>
      <c r="D21" s="506">
        <v>0</v>
      </c>
      <c r="E21" s="657">
        <f>105135.41+154530.43</f>
        <v>259665.84</v>
      </c>
      <c r="F21" s="655"/>
      <c r="G21" s="654"/>
    </row>
    <row r="22" spans="1:7" ht="24.95" customHeight="1">
      <c r="A22" s="656" t="s">
        <v>186</v>
      </c>
      <c r="B22" s="654"/>
      <c r="C22" s="505" t="s">
        <v>472</v>
      </c>
      <c r="D22" s="506">
        <v>0</v>
      </c>
      <c r="E22" s="657">
        <f>68208+587323+3425</f>
        <v>658956</v>
      </c>
      <c r="F22" s="655"/>
      <c r="G22" s="654"/>
    </row>
    <row r="23" spans="1:7" ht="24.95" customHeight="1">
      <c r="A23" s="656" t="s">
        <v>473</v>
      </c>
      <c r="B23" s="654"/>
      <c r="C23" s="505" t="s">
        <v>474</v>
      </c>
      <c r="D23" s="506">
        <v>0</v>
      </c>
      <c r="E23" s="657">
        <v>30400</v>
      </c>
      <c r="F23" s="655"/>
      <c r="G23" s="654"/>
    </row>
    <row r="24" spans="1:7" ht="24.95" customHeight="1">
      <c r="A24" s="656" t="s">
        <v>475</v>
      </c>
      <c r="B24" s="654"/>
      <c r="C24" s="505" t="s">
        <v>476</v>
      </c>
      <c r="D24" s="506">
        <v>0</v>
      </c>
      <c r="E24" s="657">
        <v>6978867.2999999998</v>
      </c>
      <c r="F24" s="655"/>
      <c r="G24" s="654"/>
    </row>
    <row r="25" spans="1:7" ht="24.95" customHeight="1">
      <c r="A25" s="656" t="s">
        <v>9</v>
      </c>
      <c r="B25" s="654"/>
      <c r="C25" s="505" t="s">
        <v>477</v>
      </c>
      <c r="D25" s="506">
        <v>0</v>
      </c>
      <c r="E25" s="657">
        <v>21129792.280000001</v>
      </c>
      <c r="F25" s="655"/>
      <c r="G25" s="654"/>
    </row>
    <row r="26" spans="1:7" ht="24.95" customHeight="1">
      <c r="A26" s="656" t="s">
        <v>10</v>
      </c>
      <c r="B26" s="654"/>
      <c r="C26" s="505" t="s">
        <v>478</v>
      </c>
      <c r="D26" s="506">
        <v>0</v>
      </c>
      <c r="E26" s="657">
        <v>16243990.4</v>
      </c>
      <c r="F26" s="655"/>
      <c r="G26" s="654"/>
    </row>
    <row r="27" spans="1:7" ht="24.95" customHeight="1">
      <c r="A27" s="656" t="s">
        <v>480</v>
      </c>
      <c r="B27" s="654"/>
      <c r="C27" s="505" t="s">
        <v>481</v>
      </c>
      <c r="D27" s="506">
        <v>0</v>
      </c>
      <c r="E27" s="657">
        <v>183178.03</v>
      </c>
      <c r="F27" s="655"/>
      <c r="G27" s="654"/>
    </row>
    <row r="28" spans="1:7" ht="24.95" customHeight="1">
      <c r="A28" s="656" t="s">
        <v>482</v>
      </c>
      <c r="B28" s="654"/>
      <c r="C28" s="505" t="s">
        <v>483</v>
      </c>
      <c r="D28" s="506">
        <v>0</v>
      </c>
      <c r="E28" s="657">
        <v>146020.9</v>
      </c>
      <c r="F28" s="655"/>
      <c r="G28" s="654"/>
    </row>
    <row r="29" spans="1:7" ht="24.95" customHeight="1">
      <c r="A29" s="656" t="s">
        <v>484</v>
      </c>
      <c r="B29" s="654"/>
      <c r="C29" s="505" t="s">
        <v>485</v>
      </c>
      <c r="D29" s="506">
        <v>0</v>
      </c>
      <c r="E29" s="657">
        <v>49318</v>
      </c>
      <c r="F29" s="655"/>
      <c r="G29" s="654"/>
    </row>
    <row r="30" spans="1:7" ht="24.95" customHeight="1">
      <c r="A30" s="656" t="s">
        <v>486</v>
      </c>
      <c r="B30" s="654"/>
      <c r="C30" s="505" t="s">
        <v>487</v>
      </c>
      <c r="D30" s="506">
        <v>0</v>
      </c>
      <c r="E30" s="657">
        <v>384248.55</v>
      </c>
      <c r="F30" s="655"/>
      <c r="G30" s="654"/>
    </row>
    <row r="31" spans="1:7" ht="24.95" customHeight="1">
      <c r="A31" s="658" t="s">
        <v>488</v>
      </c>
      <c r="B31" s="659"/>
      <c r="C31" s="507" t="s">
        <v>489</v>
      </c>
      <c r="D31" s="508">
        <v>0</v>
      </c>
      <c r="E31" s="660">
        <v>65</v>
      </c>
      <c r="F31" s="661"/>
      <c r="G31" s="659"/>
    </row>
    <row r="32" spans="1:7" ht="24.95" customHeight="1">
      <c r="A32" s="511"/>
      <c r="B32" s="512"/>
      <c r="C32" s="513"/>
      <c r="D32" s="514"/>
      <c r="E32" s="514"/>
      <c r="F32" s="512"/>
      <c r="G32" s="515"/>
    </row>
    <row r="33" spans="1:7" ht="24.95" customHeight="1">
      <c r="A33" s="516"/>
      <c r="B33" s="517"/>
      <c r="C33" s="518"/>
      <c r="D33" s="519"/>
      <c r="E33" s="519"/>
      <c r="F33" s="517"/>
      <c r="G33" s="510"/>
    </row>
    <row r="34" spans="1:7" ht="24.95" customHeight="1">
      <c r="A34" s="662" t="s">
        <v>490</v>
      </c>
      <c r="B34" s="663"/>
      <c r="C34" s="520" t="s">
        <v>491</v>
      </c>
      <c r="D34" s="521">
        <v>0</v>
      </c>
      <c r="E34" s="664">
        <v>34470</v>
      </c>
      <c r="F34" s="665"/>
      <c r="G34" s="654"/>
    </row>
    <row r="35" spans="1:7" ht="24.95" customHeight="1">
      <c r="A35" s="656" t="s">
        <v>492</v>
      </c>
      <c r="B35" s="654"/>
      <c r="C35" s="505" t="s">
        <v>493</v>
      </c>
      <c r="D35" s="506">
        <v>0</v>
      </c>
      <c r="E35" s="657">
        <v>500</v>
      </c>
      <c r="F35" s="655"/>
      <c r="G35" s="654"/>
    </row>
    <row r="36" spans="1:7" ht="24.95" customHeight="1">
      <c r="A36" s="666" t="s">
        <v>494</v>
      </c>
      <c r="B36" s="667"/>
      <c r="C36" s="505" t="s">
        <v>495</v>
      </c>
      <c r="D36" s="506">
        <v>0</v>
      </c>
      <c r="E36" s="657">
        <v>100</v>
      </c>
      <c r="F36" s="655"/>
      <c r="G36" s="654"/>
    </row>
    <row r="37" spans="1:7" ht="24.95" customHeight="1">
      <c r="A37" s="656" t="s">
        <v>496</v>
      </c>
      <c r="B37" s="654"/>
      <c r="C37" s="505" t="s">
        <v>497</v>
      </c>
      <c r="D37" s="506">
        <v>0</v>
      </c>
      <c r="E37" s="657">
        <v>8100</v>
      </c>
      <c r="F37" s="655"/>
      <c r="G37" s="654"/>
    </row>
    <row r="38" spans="1:7" ht="24.95" customHeight="1">
      <c r="A38" s="656" t="s">
        <v>498</v>
      </c>
      <c r="B38" s="654"/>
      <c r="C38" s="505" t="s">
        <v>499</v>
      </c>
      <c r="D38" s="506">
        <v>0</v>
      </c>
      <c r="E38" s="657">
        <v>1000</v>
      </c>
      <c r="F38" s="655"/>
      <c r="G38" s="654"/>
    </row>
    <row r="39" spans="1:7" ht="24.95" customHeight="1">
      <c r="A39" s="656" t="s">
        <v>500</v>
      </c>
      <c r="B39" s="654"/>
      <c r="C39" s="505" t="s">
        <v>501</v>
      </c>
      <c r="D39" s="506">
        <v>0</v>
      </c>
      <c r="E39" s="657">
        <v>9250</v>
      </c>
      <c r="F39" s="655"/>
      <c r="G39" s="654"/>
    </row>
    <row r="40" spans="1:7" ht="24.95" customHeight="1">
      <c r="A40" s="656" t="s">
        <v>502</v>
      </c>
      <c r="B40" s="654"/>
      <c r="C40" s="505" t="s">
        <v>503</v>
      </c>
      <c r="D40" s="506">
        <v>0</v>
      </c>
      <c r="E40" s="657">
        <v>650</v>
      </c>
      <c r="F40" s="655"/>
      <c r="G40" s="654"/>
    </row>
    <row r="41" spans="1:7" ht="24.95" customHeight="1">
      <c r="A41" s="656" t="s">
        <v>504</v>
      </c>
      <c r="B41" s="654"/>
      <c r="C41" s="505" t="s">
        <v>505</v>
      </c>
      <c r="D41" s="506">
        <v>0</v>
      </c>
      <c r="E41" s="657">
        <v>2560</v>
      </c>
      <c r="F41" s="655"/>
      <c r="G41" s="654"/>
    </row>
    <row r="42" spans="1:7" ht="24.95" customHeight="1">
      <c r="A42" s="656" t="s">
        <v>506</v>
      </c>
      <c r="B42" s="654"/>
      <c r="C42" s="505" t="s">
        <v>507</v>
      </c>
      <c r="D42" s="506">
        <v>0</v>
      </c>
      <c r="E42" s="657">
        <v>3100</v>
      </c>
      <c r="F42" s="655"/>
      <c r="G42" s="654"/>
    </row>
    <row r="43" spans="1:7" ht="24.95" customHeight="1">
      <c r="A43" s="656" t="s">
        <v>508</v>
      </c>
      <c r="B43" s="654"/>
      <c r="C43" s="505" t="s">
        <v>509</v>
      </c>
      <c r="D43" s="506">
        <v>0</v>
      </c>
      <c r="E43" s="657">
        <v>11820</v>
      </c>
      <c r="F43" s="655"/>
      <c r="G43" s="654"/>
    </row>
    <row r="44" spans="1:7" ht="24.95" customHeight="1">
      <c r="A44" s="666" t="s">
        <v>510</v>
      </c>
      <c r="B44" s="667"/>
      <c r="C44" s="505" t="s">
        <v>511</v>
      </c>
      <c r="D44" s="506">
        <v>0</v>
      </c>
      <c r="E44" s="657">
        <v>52300</v>
      </c>
      <c r="F44" s="655"/>
      <c r="G44" s="654"/>
    </row>
    <row r="45" spans="1:7" ht="24.95" customHeight="1">
      <c r="A45" s="656" t="s">
        <v>512</v>
      </c>
      <c r="B45" s="654"/>
      <c r="C45" s="505" t="s">
        <v>513</v>
      </c>
      <c r="D45" s="506">
        <v>0</v>
      </c>
      <c r="E45" s="657">
        <v>2150</v>
      </c>
      <c r="F45" s="655"/>
      <c r="G45" s="654"/>
    </row>
    <row r="46" spans="1:7" ht="24.95" customHeight="1">
      <c r="A46" s="656" t="s">
        <v>225</v>
      </c>
      <c r="B46" s="654"/>
      <c r="C46" s="505" t="s">
        <v>514</v>
      </c>
      <c r="D46" s="506">
        <v>0</v>
      </c>
      <c r="E46" s="657">
        <v>215162</v>
      </c>
      <c r="F46" s="655"/>
      <c r="G46" s="654"/>
    </row>
    <row r="47" spans="1:7" ht="24.95" customHeight="1">
      <c r="A47" s="656" t="s">
        <v>515</v>
      </c>
      <c r="B47" s="654"/>
      <c r="C47" s="505" t="s">
        <v>516</v>
      </c>
      <c r="D47" s="506">
        <v>0</v>
      </c>
      <c r="E47" s="657">
        <v>330</v>
      </c>
      <c r="F47" s="655"/>
      <c r="G47" s="654"/>
    </row>
    <row r="48" spans="1:7" ht="24.95" customHeight="1">
      <c r="A48" s="656" t="s">
        <v>25</v>
      </c>
      <c r="B48" s="654"/>
      <c r="C48" s="505" t="s">
        <v>517</v>
      </c>
      <c r="D48" s="506">
        <v>0</v>
      </c>
      <c r="E48" s="657">
        <v>557435</v>
      </c>
      <c r="F48" s="655"/>
      <c r="G48" s="654"/>
    </row>
    <row r="49" spans="1:7" ht="24.95" customHeight="1">
      <c r="A49" s="656" t="s">
        <v>518</v>
      </c>
      <c r="B49" s="654"/>
      <c r="C49" s="505" t="s">
        <v>519</v>
      </c>
      <c r="D49" s="506">
        <v>0</v>
      </c>
      <c r="E49" s="657">
        <v>16500</v>
      </c>
      <c r="F49" s="655"/>
      <c r="G49" s="654"/>
    </row>
    <row r="50" spans="1:7" ht="24.95" customHeight="1">
      <c r="A50" s="656" t="s">
        <v>520</v>
      </c>
      <c r="B50" s="654"/>
      <c r="C50" s="505" t="s">
        <v>521</v>
      </c>
      <c r="D50" s="506">
        <v>0</v>
      </c>
      <c r="E50" s="657">
        <v>119530</v>
      </c>
      <c r="F50" s="655"/>
      <c r="G50" s="654"/>
    </row>
    <row r="51" spans="1:7" ht="24.95" customHeight="1">
      <c r="A51" s="656" t="s">
        <v>522</v>
      </c>
      <c r="B51" s="654"/>
      <c r="C51" s="505" t="s">
        <v>523</v>
      </c>
      <c r="D51" s="506">
        <v>0</v>
      </c>
      <c r="E51" s="657">
        <v>503815</v>
      </c>
      <c r="F51" s="655"/>
      <c r="G51" s="654"/>
    </row>
    <row r="52" spans="1:7" ht="24.95" customHeight="1">
      <c r="A52" s="656" t="s">
        <v>524</v>
      </c>
      <c r="B52" s="654"/>
      <c r="C52" s="505" t="s">
        <v>525</v>
      </c>
      <c r="D52" s="506">
        <v>0</v>
      </c>
      <c r="E52" s="657">
        <v>9650345.1799999997</v>
      </c>
      <c r="F52" s="655"/>
      <c r="G52" s="654"/>
    </row>
    <row r="53" spans="1:7" ht="24.95" customHeight="1">
      <c r="A53" s="656" t="s">
        <v>526</v>
      </c>
      <c r="B53" s="654"/>
      <c r="C53" s="505" t="s">
        <v>527</v>
      </c>
      <c r="D53" s="506">
        <v>0</v>
      </c>
      <c r="E53" s="657">
        <v>3486339.44</v>
      </c>
      <c r="F53" s="655"/>
      <c r="G53" s="654"/>
    </row>
    <row r="54" spans="1:7" ht="24.95" customHeight="1">
      <c r="A54" s="656" t="s">
        <v>528</v>
      </c>
      <c r="B54" s="654"/>
      <c r="C54" s="505" t="s">
        <v>529</v>
      </c>
      <c r="D54" s="506">
        <v>0</v>
      </c>
      <c r="E54" s="657">
        <v>76926.490000000005</v>
      </c>
      <c r="F54" s="655"/>
      <c r="G54" s="654"/>
    </row>
    <row r="55" spans="1:7" ht="24.95" customHeight="1">
      <c r="A55" s="656" t="s">
        <v>530</v>
      </c>
      <c r="B55" s="654"/>
      <c r="C55" s="505" t="s">
        <v>531</v>
      </c>
      <c r="D55" s="506">
        <v>0</v>
      </c>
      <c r="E55" s="657">
        <v>6936927.3399999999</v>
      </c>
      <c r="F55" s="655"/>
      <c r="G55" s="654"/>
    </row>
    <row r="56" spans="1:7" ht="24.95" customHeight="1">
      <c r="A56" s="656" t="s">
        <v>532</v>
      </c>
      <c r="B56" s="654"/>
      <c r="C56" s="505" t="s">
        <v>533</v>
      </c>
      <c r="D56" s="506">
        <v>0</v>
      </c>
      <c r="E56" s="657">
        <v>56859.75</v>
      </c>
      <c r="F56" s="655"/>
      <c r="G56" s="654"/>
    </row>
    <row r="57" spans="1:7" ht="24.95" customHeight="1">
      <c r="A57" s="656" t="s">
        <v>534</v>
      </c>
      <c r="B57" s="654"/>
      <c r="C57" s="505" t="s">
        <v>535</v>
      </c>
      <c r="D57" s="506">
        <v>0</v>
      </c>
      <c r="E57" s="657">
        <v>54065.69</v>
      </c>
      <c r="F57" s="655"/>
      <c r="G57" s="654"/>
    </row>
    <row r="58" spans="1:7" ht="24.95" customHeight="1">
      <c r="A58" s="666" t="s">
        <v>536</v>
      </c>
      <c r="B58" s="667"/>
      <c r="C58" s="505" t="s">
        <v>537</v>
      </c>
      <c r="D58" s="506">
        <v>0</v>
      </c>
      <c r="E58" s="657">
        <v>1302235</v>
      </c>
      <c r="F58" s="655"/>
      <c r="G58" s="654"/>
    </row>
    <row r="59" spans="1:7" ht="24.95" customHeight="1">
      <c r="A59" s="656" t="s">
        <v>538</v>
      </c>
      <c r="B59" s="654"/>
      <c r="C59" s="505" t="s">
        <v>539</v>
      </c>
      <c r="D59" s="506">
        <v>0</v>
      </c>
      <c r="E59" s="657">
        <v>2512.3000000000002</v>
      </c>
      <c r="F59" s="655"/>
      <c r="G59" s="654"/>
    </row>
    <row r="60" spans="1:7" ht="24.95" customHeight="1">
      <c r="A60" s="668" t="s">
        <v>540</v>
      </c>
      <c r="B60" s="669"/>
      <c r="C60" s="507" t="s">
        <v>541</v>
      </c>
      <c r="D60" s="508">
        <v>0</v>
      </c>
      <c r="E60" s="660">
        <v>27026326.760000002</v>
      </c>
      <c r="F60" s="661"/>
      <c r="G60" s="659"/>
    </row>
    <row r="61" spans="1:7" ht="24.95" customHeight="1">
      <c r="A61" s="511"/>
      <c r="B61" s="512"/>
      <c r="C61" s="513"/>
      <c r="D61" s="514"/>
      <c r="E61" s="514"/>
      <c r="F61" s="512"/>
      <c r="G61" s="515"/>
    </row>
    <row r="62" spans="1:7" ht="24.95" customHeight="1">
      <c r="A62" s="511"/>
      <c r="B62" s="512"/>
      <c r="C62" s="513"/>
      <c r="D62" s="514"/>
      <c r="E62" s="514"/>
      <c r="F62" s="512"/>
      <c r="G62" s="515"/>
    </row>
    <row r="63" spans="1:7" ht="24.95" customHeight="1">
      <c r="A63" s="511"/>
      <c r="B63" s="512"/>
      <c r="C63" s="513"/>
      <c r="D63" s="514"/>
      <c r="E63" s="514"/>
      <c r="F63" s="512"/>
      <c r="G63" s="515"/>
    </row>
    <row r="64" spans="1:7" ht="24.95" customHeight="1">
      <c r="A64" s="511"/>
      <c r="B64" s="512"/>
      <c r="C64" s="513"/>
      <c r="D64" s="514"/>
      <c r="E64" s="514"/>
      <c r="F64" s="512"/>
      <c r="G64" s="515"/>
    </row>
    <row r="65" spans="1:7" ht="24.95" customHeight="1">
      <c r="A65" s="516"/>
      <c r="B65" s="517"/>
      <c r="C65" s="518"/>
      <c r="D65" s="519"/>
      <c r="E65" s="519"/>
      <c r="F65" s="517"/>
      <c r="G65" s="510"/>
    </row>
    <row r="66" spans="1:7" ht="24.95" customHeight="1">
      <c r="A66" s="670" t="s">
        <v>542</v>
      </c>
      <c r="B66" s="671"/>
      <c r="C66" s="520" t="s">
        <v>543</v>
      </c>
      <c r="D66" s="521">
        <v>0</v>
      </c>
      <c r="E66" s="664">
        <v>3530257.59</v>
      </c>
      <c r="F66" s="665"/>
      <c r="G66" s="654"/>
    </row>
    <row r="67" spans="1:7" ht="24.95" customHeight="1">
      <c r="A67" s="666" t="s">
        <v>544</v>
      </c>
      <c r="B67" s="667"/>
      <c r="C67" s="505" t="s">
        <v>545</v>
      </c>
      <c r="D67" s="506">
        <v>0</v>
      </c>
      <c r="E67" s="657">
        <v>390</v>
      </c>
      <c r="F67" s="655"/>
      <c r="G67" s="654"/>
    </row>
    <row r="68" spans="1:7" ht="24.95" customHeight="1">
      <c r="A68" s="656" t="s">
        <v>4</v>
      </c>
      <c r="B68" s="654"/>
      <c r="C68" s="505" t="s">
        <v>546</v>
      </c>
      <c r="D68" s="506">
        <v>13994918.41</v>
      </c>
      <c r="E68" s="657">
        <v>0</v>
      </c>
      <c r="F68" s="655"/>
      <c r="G68" s="654"/>
    </row>
    <row r="69" spans="1:7" ht="24.95" customHeight="1">
      <c r="A69" s="656" t="s">
        <v>547</v>
      </c>
      <c r="B69" s="654"/>
      <c r="C69" s="505" t="s">
        <v>548</v>
      </c>
      <c r="D69" s="506">
        <v>2624640</v>
      </c>
      <c r="E69" s="657">
        <v>0</v>
      </c>
      <c r="F69" s="655"/>
      <c r="G69" s="654"/>
    </row>
    <row r="70" spans="1:7" ht="24.95" customHeight="1">
      <c r="A70" s="656" t="s">
        <v>549</v>
      </c>
      <c r="B70" s="654"/>
      <c r="C70" s="505" t="s">
        <v>550</v>
      </c>
      <c r="D70" s="506">
        <v>12065543.390000001</v>
      </c>
      <c r="E70" s="657">
        <v>0</v>
      </c>
      <c r="F70" s="655"/>
      <c r="G70" s="654"/>
    </row>
    <row r="71" spans="1:7" ht="24.95" customHeight="1">
      <c r="A71" s="656" t="s">
        <v>5</v>
      </c>
      <c r="B71" s="654"/>
      <c r="C71" s="505" t="s">
        <v>551</v>
      </c>
      <c r="D71" s="506">
        <v>244425.75</v>
      </c>
      <c r="E71" s="657">
        <v>0</v>
      </c>
      <c r="F71" s="655"/>
      <c r="G71" s="654"/>
    </row>
    <row r="72" spans="1:7" ht="24.95" customHeight="1">
      <c r="A72" s="656" t="s">
        <v>6</v>
      </c>
      <c r="B72" s="654"/>
      <c r="C72" s="505" t="s">
        <v>552</v>
      </c>
      <c r="D72" s="506">
        <v>6210724.9299999997</v>
      </c>
      <c r="E72" s="657">
        <v>0</v>
      </c>
      <c r="F72" s="655"/>
      <c r="G72" s="654"/>
    </row>
    <row r="73" spans="1:7" ht="24.95" customHeight="1">
      <c r="A73" s="656" t="s">
        <v>7</v>
      </c>
      <c r="B73" s="654"/>
      <c r="C73" s="505" t="s">
        <v>553</v>
      </c>
      <c r="D73" s="506">
        <v>3595050.91</v>
      </c>
      <c r="E73" s="657">
        <v>0</v>
      </c>
      <c r="F73" s="655"/>
      <c r="G73" s="654"/>
    </row>
    <row r="74" spans="1:7" ht="24.95" customHeight="1">
      <c r="A74" s="656" t="s">
        <v>8</v>
      </c>
      <c r="B74" s="654"/>
      <c r="C74" s="505" t="s">
        <v>554</v>
      </c>
      <c r="D74" s="506">
        <v>1296751.6000000001</v>
      </c>
      <c r="E74" s="657">
        <v>0</v>
      </c>
      <c r="F74" s="655"/>
      <c r="G74" s="654"/>
    </row>
    <row r="75" spans="1:7" ht="24.95" customHeight="1">
      <c r="A75" s="656" t="s">
        <v>31</v>
      </c>
      <c r="B75" s="654"/>
      <c r="C75" s="505" t="s">
        <v>555</v>
      </c>
      <c r="D75" s="506">
        <v>289690</v>
      </c>
      <c r="E75" s="657">
        <v>0</v>
      </c>
      <c r="F75" s="655"/>
      <c r="G75" s="654"/>
    </row>
    <row r="76" spans="1:7" ht="24.95" customHeight="1">
      <c r="A76" s="656" t="s">
        <v>32</v>
      </c>
      <c r="B76" s="654"/>
      <c r="C76" s="505" t="s">
        <v>556</v>
      </c>
      <c r="D76" s="506">
        <v>5983400</v>
      </c>
      <c r="E76" s="657">
        <v>0</v>
      </c>
      <c r="F76" s="655"/>
      <c r="G76" s="654"/>
    </row>
    <row r="77" spans="1:7" ht="24.95" customHeight="1">
      <c r="A77" s="656" t="s">
        <v>29</v>
      </c>
      <c r="B77" s="654"/>
      <c r="C77" s="505" t="s">
        <v>557</v>
      </c>
      <c r="D77" s="506">
        <v>2425469.7000000002</v>
      </c>
      <c r="E77" s="657">
        <v>0</v>
      </c>
      <c r="F77" s="655"/>
      <c r="G77" s="654"/>
    </row>
    <row r="78" spans="1:7" ht="24.95" customHeight="1">
      <c r="A78" s="672" t="s">
        <v>41</v>
      </c>
      <c r="B78" s="665"/>
      <c r="C78" s="663"/>
      <c r="D78" s="522">
        <f>SUM(D7:D77)</f>
        <v>103825088.32000001</v>
      </c>
      <c r="E78" s="673">
        <f>SUM(E7:E77)</f>
        <v>103825088.32000001</v>
      </c>
      <c r="F78" s="655"/>
      <c r="G78" s="654"/>
    </row>
    <row r="79" spans="1:7" ht="24.95" customHeight="1">
      <c r="A79" s="180"/>
      <c r="B79" s="180"/>
      <c r="C79" s="180"/>
      <c r="D79" s="180"/>
      <c r="E79" s="180"/>
      <c r="F79" s="180"/>
      <c r="G79" s="180"/>
    </row>
    <row r="80" spans="1:7" ht="24.95" customHeight="1">
      <c r="A80" s="180"/>
      <c r="B80" s="180"/>
      <c r="C80" s="180"/>
      <c r="D80" s="180"/>
      <c r="E80" s="180"/>
      <c r="F80" s="180"/>
      <c r="G80" s="180"/>
    </row>
    <row r="81" spans="1:7" ht="24.95" customHeight="1">
      <c r="A81" s="180"/>
      <c r="B81" s="180"/>
      <c r="C81" s="180"/>
      <c r="D81" s="180"/>
      <c r="E81" s="180"/>
      <c r="F81" s="180"/>
      <c r="G81" s="180"/>
    </row>
    <row r="82" spans="1:7" ht="24.95" customHeight="1">
      <c r="A82" s="180"/>
      <c r="B82" s="610" t="s">
        <v>52</v>
      </c>
      <c r="C82" s="610"/>
      <c r="D82" s="610"/>
      <c r="E82" s="610"/>
      <c r="F82" s="610"/>
      <c r="G82" s="180"/>
    </row>
    <row r="83" spans="1:7" ht="24.95" customHeight="1">
      <c r="A83" s="180"/>
      <c r="B83" s="610" t="s">
        <v>125</v>
      </c>
      <c r="C83" s="610"/>
      <c r="D83" s="610"/>
      <c r="E83" s="610"/>
      <c r="F83" s="610"/>
      <c r="G83" s="180"/>
    </row>
    <row r="84" spans="1:7" ht="24.95" customHeight="1">
      <c r="A84" s="180"/>
      <c r="B84" s="180"/>
      <c r="C84" s="180"/>
      <c r="D84" s="180"/>
      <c r="E84" s="180"/>
      <c r="F84" s="180"/>
      <c r="G84" s="180"/>
    </row>
  </sheetData>
  <mergeCells count="138">
    <mergeCell ref="A78:C78"/>
    <mergeCell ref="E78:G78"/>
    <mergeCell ref="B82:F82"/>
    <mergeCell ref="B83:F83"/>
    <mergeCell ref="A75:B75"/>
    <mergeCell ref="E75:G75"/>
    <mergeCell ref="A76:B76"/>
    <mergeCell ref="E76:G76"/>
    <mergeCell ref="A77:B77"/>
    <mergeCell ref="E77:G77"/>
    <mergeCell ref="A72:B72"/>
    <mergeCell ref="E72:G72"/>
    <mergeCell ref="A73:B73"/>
    <mergeCell ref="E73:G73"/>
    <mergeCell ref="A74:B74"/>
    <mergeCell ref="E74:G74"/>
    <mergeCell ref="A69:B69"/>
    <mergeCell ref="E69:G69"/>
    <mergeCell ref="A70:B70"/>
    <mergeCell ref="E70:G70"/>
    <mergeCell ref="A71:B71"/>
    <mergeCell ref="E71:G71"/>
    <mergeCell ref="A66:B66"/>
    <mergeCell ref="E66:G66"/>
    <mergeCell ref="A67:B67"/>
    <mergeCell ref="E67:G67"/>
    <mergeCell ref="A68:B68"/>
    <mergeCell ref="E68:G68"/>
    <mergeCell ref="A58:B58"/>
    <mergeCell ref="E58:G58"/>
    <mergeCell ref="A59:B59"/>
    <mergeCell ref="E59:G59"/>
    <mergeCell ref="A60:B60"/>
    <mergeCell ref="E60:G60"/>
    <mergeCell ref="A55:B55"/>
    <mergeCell ref="E55:G55"/>
    <mergeCell ref="A56:B56"/>
    <mergeCell ref="E56:G56"/>
    <mergeCell ref="A57:B57"/>
    <mergeCell ref="E57:G57"/>
    <mergeCell ref="A52:B52"/>
    <mergeCell ref="E52:G52"/>
    <mergeCell ref="A53:B53"/>
    <mergeCell ref="E53:G53"/>
    <mergeCell ref="A54:B54"/>
    <mergeCell ref="E54:G54"/>
    <mergeCell ref="A49:B49"/>
    <mergeCell ref="E49:G49"/>
    <mergeCell ref="A50:B50"/>
    <mergeCell ref="E50:G50"/>
    <mergeCell ref="A51:B51"/>
    <mergeCell ref="E51:G51"/>
    <mergeCell ref="A46:B46"/>
    <mergeCell ref="E46:G46"/>
    <mergeCell ref="A47:B47"/>
    <mergeCell ref="E47:G47"/>
    <mergeCell ref="A48:B48"/>
    <mergeCell ref="E48:G48"/>
    <mergeCell ref="A43:B43"/>
    <mergeCell ref="E43:G43"/>
    <mergeCell ref="A44:B44"/>
    <mergeCell ref="E44:G44"/>
    <mergeCell ref="A45:B45"/>
    <mergeCell ref="E45:G45"/>
    <mergeCell ref="A40:B40"/>
    <mergeCell ref="E40:G40"/>
    <mergeCell ref="A41:B41"/>
    <mergeCell ref="E41:G41"/>
    <mergeCell ref="A42:B42"/>
    <mergeCell ref="E42:G42"/>
    <mergeCell ref="A37:B37"/>
    <mergeCell ref="E37:G37"/>
    <mergeCell ref="A38:B38"/>
    <mergeCell ref="E38:G38"/>
    <mergeCell ref="A39:B39"/>
    <mergeCell ref="E39:G39"/>
    <mergeCell ref="A34:B34"/>
    <mergeCell ref="E34:G34"/>
    <mergeCell ref="A35:B35"/>
    <mergeCell ref="E35:G35"/>
    <mergeCell ref="A36:B36"/>
    <mergeCell ref="E36:G36"/>
    <mergeCell ref="A29:B29"/>
    <mergeCell ref="E29:G29"/>
    <mergeCell ref="A30:B30"/>
    <mergeCell ref="E30:G30"/>
    <mergeCell ref="A31:B31"/>
    <mergeCell ref="E31:G31"/>
    <mergeCell ref="A26:B26"/>
    <mergeCell ref="E26:G26"/>
    <mergeCell ref="A27:B27"/>
    <mergeCell ref="E27:G27"/>
    <mergeCell ref="A28:B28"/>
    <mergeCell ref="E28:G28"/>
    <mergeCell ref="A23:B23"/>
    <mergeCell ref="E23:G23"/>
    <mergeCell ref="A24:B24"/>
    <mergeCell ref="E24:G24"/>
    <mergeCell ref="A25:B25"/>
    <mergeCell ref="E25:G25"/>
    <mergeCell ref="A20:B20"/>
    <mergeCell ref="E20:G20"/>
    <mergeCell ref="A21:B21"/>
    <mergeCell ref="E21:G21"/>
    <mergeCell ref="A22:B22"/>
    <mergeCell ref="E22:G22"/>
    <mergeCell ref="A17:B17"/>
    <mergeCell ref="E17:G17"/>
    <mergeCell ref="A18:B18"/>
    <mergeCell ref="E18:G18"/>
    <mergeCell ref="A19:B19"/>
    <mergeCell ref="E19:G19"/>
    <mergeCell ref="A13:B13"/>
    <mergeCell ref="E13:G13"/>
    <mergeCell ref="A14:B14"/>
    <mergeCell ref="E14:G14"/>
    <mergeCell ref="A15:B15"/>
    <mergeCell ref="A16:B16"/>
    <mergeCell ref="E16:G16"/>
    <mergeCell ref="E15:F15"/>
    <mergeCell ref="A10:B10"/>
    <mergeCell ref="E10:G10"/>
    <mergeCell ref="A11:B11"/>
    <mergeCell ref="E11:G11"/>
    <mergeCell ref="A12:B12"/>
    <mergeCell ref="E12:G12"/>
    <mergeCell ref="A7:B7"/>
    <mergeCell ref="E7:G7"/>
    <mergeCell ref="A8:B8"/>
    <mergeCell ref="E8:G8"/>
    <mergeCell ref="A9:B9"/>
    <mergeCell ref="E9:G9"/>
    <mergeCell ref="A1:F1"/>
    <mergeCell ref="A2:F2"/>
    <mergeCell ref="A3:F3"/>
    <mergeCell ref="A4:F4"/>
    <mergeCell ref="A6:B6"/>
    <mergeCell ref="E6:G6"/>
  </mergeCells>
  <pageMargins left="0.46" right="0.3" top="0.3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9"/>
  <sheetViews>
    <sheetView topLeftCell="A4" zoomScale="110" zoomScaleNormal="110" workbookViewId="0">
      <selection activeCell="A4" sqref="A4:E4"/>
    </sheetView>
  </sheetViews>
  <sheetFormatPr defaultRowHeight="23.25"/>
  <cols>
    <col min="1" max="1" width="41.42578125" style="1" customWidth="1"/>
    <col min="2" max="2" width="9.85546875" style="1" customWidth="1"/>
    <col min="3" max="3" width="15.42578125" style="1" customWidth="1"/>
    <col min="4" max="4" width="14" style="1" customWidth="1"/>
    <col min="5" max="5" width="16.7109375" style="1" customWidth="1"/>
    <col min="6" max="6" width="14.42578125" style="1" customWidth="1"/>
    <col min="7" max="7" width="18.42578125" style="1" customWidth="1"/>
    <col min="8" max="16384" width="9.140625" style="1"/>
  </cols>
  <sheetData>
    <row r="1" spans="1:6">
      <c r="A1" s="128"/>
      <c r="B1" s="128"/>
      <c r="C1" s="128"/>
      <c r="D1" s="128"/>
      <c r="E1" s="331" t="s">
        <v>91</v>
      </c>
    </row>
    <row r="2" spans="1:6">
      <c r="A2" s="529" t="s">
        <v>53</v>
      </c>
      <c r="B2" s="529"/>
      <c r="C2" s="529"/>
      <c r="D2" s="529"/>
      <c r="E2" s="529"/>
    </row>
    <row r="3" spans="1:6">
      <c r="A3" s="529" t="s">
        <v>76</v>
      </c>
      <c r="B3" s="529"/>
      <c r="C3" s="529"/>
      <c r="D3" s="529"/>
      <c r="E3" s="529"/>
    </row>
    <row r="4" spans="1:6">
      <c r="A4" s="534" t="s">
        <v>445</v>
      </c>
      <c r="B4" s="534"/>
      <c r="C4" s="534"/>
      <c r="D4" s="534"/>
      <c r="E4" s="534"/>
    </row>
    <row r="5" spans="1:6">
      <c r="A5" s="212"/>
      <c r="B5" s="183" t="s">
        <v>1</v>
      </c>
      <c r="C5" s="183" t="s">
        <v>61</v>
      </c>
      <c r="D5" s="183" t="s">
        <v>62</v>
      </c>
      <c r="E5" s="212" t="s">
        <v>82</v>
      </c>
    </row>
    <row r="6" spans="1:6">
      <c r="A6" s="215" t="s">
        <v>63</v>
      </c>
      <c r="B6" s="273"/>
      <c r="C6" s="131"/>
      <c r="D6" s="131"/>
      <c r="E6" s="216"/>
    </row>
    <row r="7" spans="1:6">
      <c r="A7" s="211" t="s">
        <v>64</v>
      </c>
      <c r="B7" s="278">
        <v>41100000</v>
      </c>
      <c r="C7" s="121"/>
      <c r="D7" s="121"/>
      <c r="E7" s="217"/>
    </row>
    <row r="8" spans="1:6">
      <c r="A8" s="175" t="s">
        <v>269</v>
      </c>
      <c r="B8" s="176">
        <v>41100001</v>
      </c>
      <c r="C8" s="121">
        <v>160000</v>
      </c>
      <c r="D8" s="121"/>
      <c r="E8" s="121">
        <v>183178.03</v>
      </c>
    </row>
    <row r="9" spans="1:6">
      <c r="A9" s="175" t="s">
        <v>270</v>
      </c>
      <c r="B9" s="176">
        <v>41100002</v>
      </c>
      <c r="C9" s="121">
        <v>170000</v>
      </c>
      <c r="D9" s="121">
        <v>43092.75</v>
      </c>
      <c r="E9" s="121">
        <v>146020.9</v>
      </c>
    </row>
    <row r="10" spans="1:6">
      <c r="A10" s="175" t="s">
        <v>271</v>
      </c>
      <c r="B10" s="176">
        <v>41100003</v>
      </c>
      <c r="C10" s="121">
        <v>36000</v>
      </c>
      <c r="D10" s="121"/>
      <c r="E10" s="121">
        <f>25862+16126+7330</f>
        <v>49318</v>
      </c>
    </row>
    <row r="11" spans="1:6">
      <c r="A11" s="175" t="s">
        <v>272</v>
      </c>
      <c r="B11" s="176">
        <v>41100005</v>
      </c>
      <c r="C11" s="121">
        <v>500000</v>
      </c>
      <c r="D11" s="121"/>
      <c r="E11" s="121">
        <f>133593.75+117061.05+133593.75</f>
        <v>384248.55</v>
      </c>
    </row>
    <row r="12" spans="1:6">
      <c r="A12" s="210" t="s">
        <v>41</v>
      </c>
      <c r="B12" s="176"/>
      <c r="C12" s="417">
        <f>SUM(C6:C11)</f>
        <v>866000</v>
      </c>
      <c r="D12" s="417">
        <f>SUM(D8:D11)</f>
        <v>43092.75</v>
      </c>
      <c r="E12" s="417">
        <f>SUM(E8:E11)</f>
        <v>762765.48</v>
      </c>
      <c r="F12" s="128"/>
    </row>
    <row r="13" spans="1:6">
      <c r="A13" s="211" t="s">
        <v>65</v>
      </c>
      <c r="B13" s="278">
        <v>41200000</v>
      </c>
      <c r="C13" s="121"/>
      <c r="D13" s="121"/>
      <c r="E13" s="121"/>
    </row>
    <row r="14" spans="1:6">
      <c r="A14" s="175" t="s">
        <v>273</v>
      </c>
      <c r="B14" s="176"/>
      <c r="C14" s="121"/>
      <c r="D14" s="121"/>
      <c r="E14" s="121"/>
    </row>
    <row r="15" spans="1:6">
      <c r="A15" s="175" t="s">
        <v>92</v>
      </c>
      <c r="B15" s="176">
        <v>41210001</v>
      </c>
      <c r="C15" s="121"/>
      <c r="D15" s="121"/>
      <c r="E15" s="121"/>
    </row>
    <row r="16" spans="1:6">
      <c r="A16" s="175" t="s">
        <v>274</v>
      </c>
      <c r="B16" s="176">
        <v>41210004</v>
      </c>
      <c r="C16" s="121"/>
      <c r="D16" s="121"/>
      <c r="E16" s="121"/>
    </row>
    <row r="17" spans="1:5">
      <c r="A17" s="175" t="s">
        <v>275</v>
      </c>
      <c r="B17" s="176">
        <v>41210005</v>
      </c>
      <c r="C17" s="121"/>
      <c r="D17" s="121"/>
      <c r="E17" s="121"/>
    </row>
    <row r="18" spans="1:5">
      <c r="A18" s="175" t="s">
        <v>276</v>
      </c>
      <c r="B18" s="176">
        <v>41210007</v>
      </c>
      <c r="C18" s="121"/>
      <c r="D18" s="121"/>
      <c r="E18" s="121"/>
    </row>
    <row r="19" spans="1:5">
      <c r="A19" s="175" t="s">
        <v>277</v>
      </c>
      <c r="B19" s="176">
        <v>41210008</v>
      </c>
      <c r="C19" s="121">
        <v>180000</v>
      </c>
      <c r="D19" s="121">
        <v>500</v>
      </c>
      <c r="E19" s="121">
        <f>26900+840+6880+500</f>
        <v>35120</v>
      </c>
    </row>
    <row r="20" spans="1:5">
      <c r="A20" s="175" t="s">
        <v>278</v>
      </c>
      <c r="B20" s="176"/>
      <c r="C20" s="121"/>
      <c r="D20" s="121"/>
      <c r="E20" s="121"/>
    </row>
    <row r="21" spans="1:5">
      <c r="A21" s="175" t="s">
        <v>93</v>
      </c>
      <c r="B21" s="176"/>
      <c r="C21" s="121"/>
      <c r="D21" s="121"/>
      <c r="E21" s="121"/>
    </row>
    <row r="22" spans="1:5">
      <c r="A22" s="175" t="s">
        <v>94</v>
      </c>
      <c r="B22" s="176"/>
      <c r="C22" s="121"/>
      <c r="D22" s="121"/>
      <c r="E22" s="121"/>
    </row>
    <row r="23" spans="1:5">
      <c r="A23" s="175" t="s">
        <v>95</v>
      </c>
      <c r="B23" s="176">
        <v>41210010</v>
      </c>
      <c r="C23" s="121"/>
      <c r="D23" s="174"/>
      <c r="E23" s="121"/>
    </row>
    <row r="24" spans="1:5">
      <c r="A24" s="175" t="s">
        <v>279</v>
      </c>
      <c r="B24" s="176">
        <v>41210011</v>
      </c>
      <c r="C24" s="121"/>
      <c r="D24" s="174"/>
      <c r="E24" s="121">
        <v>500</v>
      </c>
    </row>
    <row r="25" spans="1:5">
      <c r="A25" s="175" t="s">
        <v>280</v>
      </c>
      <c r="B25" s="176">
        <v>41210012</v>
      </c>
      <c r="C25" s="121">
        <v>500</v>
      </c>
      <c r="D25" s="174"/>
      <c r="E25" s="121">
        <v>100</v>
      </c>
    </row>
    <row r="26" spans="1:5">
      <c r="A26" s="175" t="s">
        <v>281</v>
      </c>
      <c r="B26" s="176">
        <v>41210013</v>
      </c>
      <c r="C26" s="121">
        <v>10000</v>
      </c>
      <c r="D26" s="174">
        <v>590</v>
      </c>
      <c r="E26" s="121">
        <f>6680+430+400+590</f>
        <v>8100</v>
      </c>
    </row>
    <row r="27" spans="1:5">
      <c r="A27" s="175" t="s">
        <v>282</v>
      </c>
      <c r="B27" s="176"/>
      <c r="C27" s="121"/>
      <c r="D27" s="174"/>
      <c r="E27" s="121"/>
    </row>
    <row r="28" spans="1:5">
      <c r="A28" s="175" t="s">
        <v>96</v>
      </c>
      <c r="B28" s="176">
        <v>41210018</v>
      </c>
      <c r="C28" s="121">
        <v>500</v>
      </c>
      <c r="D28" s="174"/>
      <c r="E28" s="121">
        <v>1000</v>
      </c>
    </row>
    <row r="29" spans="1:5">
      <c r="A29" s="175" t="s">
        <v>283</v>
      </c>
      <c r="B29" s="176">
        <v>41210029</v>
      </c>
      <c r="C29" s="121">
        <v>1800</v>
      </c>
      <c r="D29" s="174">
        <v>450</v>
      </c>
      <c r="E29" s="121">
        <f>8470+200+150+450</f>
        <v>9270</v>
      </c>
    </row>
    <row r="30" spans="1:5">
      <c r="A30" s="175" t="s">
        <v>284</v>
      </c>
      <c r="B30" s="176">
        <v>41210030</v>
      </c>
      <c r="C30" s="121"/>
      <c r="D30" s="174"/>
      <c r="E30" s="121"/>
    </row>
    <row r="31" spans="1:5">
      <c r="A31" s="175" t="s">
        <v>285</v>
      </c>
      <c r="B31" s="176">
        <v>41219999</v>
      </c>
      <c r="C31" s="121">
        <v>5000</v>
      </c>
      <c r="D31" s="174"/>
      <c r="E31" s="121">
        <v>290</v>
      </c>
    </row>
    <row r="32" spans="1:5">
      <c r="A32" s="175" t="s">
        <v>286</v>
      </c>
      <c r="B32" s="176">
        <v>41220002</v>
      </c>
      <c r="C32" s="121">
        <v>5000</v>
      </c>
      <c r="D32" s="174"/>
      <c r="E32" s="121">
        <f>1050+450+750+650+200</f>
        <v>3100</v>
      </c>
    </row>
    <row r="33" spans="1:5">
      <c r="A33" s="175" t="s">
        <v>287</v>
      </c>
      <c r="B33" s="184"/>
      <c r="C33" s="121"/>
      <c r="D33" s="125"/>
      <c r="E33" s="121"/>
    </row>
    <row r="34" spans="1:5">
      <c r="A34" s="178" t="s">
        <v>86</v>
      </c>
      <c r="B34" s="274">
        <v>41220009</v>
      </c>
      <c r="C34" s="132">
        <v>100</v>
      </c>
      <c r="D34" s="170"/>
      <c r="E34" s="132"/>
    </row>
    <row r="35" spans="1:5">
      <c r="A35" s="180"/>
      <c r="B35" s="134"/>
      <c r="C35" s="125"/>
      <c r="D35" s="125"/>
      <c r="E35" s="125"/>
    </row>
    <row r="36" spans="1:5">
      <c r="A36" s="218"/>
      <c r="B36" s="275"/>
      <c r="C36" s="170"/>
      <c r="D36" s="170"/>
      <c r="E36" s="170"/>
    </row>
    <row r="37" spans="1:5">
      <c r="A37" s="241" t="s">
        <v>288</v>
      </c>
      <c r="B37" s="273">
        <v>41220010</v>
      </c>
      <c r="C37" s="242">
        <v>50000</v>
      </c>
      <c r="D37" s="242"/>
      <c r="E37" s="131">
        <f>10120+1700</f>
        <v>11820</v>
      </c>
    </row>
    <row r="38" spans="1:5">
      <c r="A38" s="209" t="s">
        <v>289</v>
      </c>
      <c r="B38" s="176">
        <v>41229999</v>
      </c>
      <c r="C38" s="174"/>
      <c r="D38" s="174"/>
      <c r="E38" s="121"/>
    </row>
    <row r="39" spans="1:5">
      <c r="A39" s="209" t="s">
        <v>290</v>
      </c>
      <c r="B39" s="176"/>
      <c r="C39" s="174"/>
      <c r="D39" s="174"/>
      <c r="E39" s="121"/>
    </row>
    <row r="40" spans="1:5">
      <c r="A40" s="209" t="s">
        <v>97</v>
      </c>
      <c r="B40" s="184"/>
      <c r="C40" s="174"/>
      <c r="D40" s="174"/>
      <c r="E40" s="121"/>
    </row>
    <row r="41" spans="1:5">
      <c r="A41" s="175" t="s">
        <v>98</v>
      </c>
      <c r="B41" s="134">
        <v>41230004</v>
      </c>
      <c r="C41" s="121"/>
      <c r="D41" s="125"/>
      <c r="E41" s="121"/>
    </row>
    <row r="42" spans="1:5">
      <c r="A42" s="175" t="s">
        <v>291</v>
      </c>
      <c r="B42" s="184"/>
      <c r="C42" s="121"/>
      <c r="D42" s="174"/>
      <c r="E42" s="121"/>
    </row>
    <row r="43" spans="1:5">
      <c r="A43" s="175" t="s">
        <v>99</v>
      </c>
      <c r="B43" s="176">
        <v>41230005</v>
      </c>
      <c r="C43" s="121"/>
      <c r="D43" s="174"/>
      <c r="E43" s="121"/>
    </row>
    <row r="44" spans="1:5">
      <c r="A44" s="175" t="s">
        <v>292</v>
      </c>
      <c r="B44" s="176">
        <v>41230007</v>
      </c>
      <c r="C44" s="121">
        <v>5000</v>
      </c>
      <c r="D44" s="121"/>
      <c r="E44" s="121">
        <f>1724+153+338</f>
        <v>2215</v>
      </c>
    </row>
    <row r="45" spans="1:5">
      <c r="A45" s="175" t="s">
        <v>293</v>
      </c>
      <c r="B45" s="176"/>
      <c r="C45" s="121"/>
      <c r="D45" s="121"/>
      <c r="E45" s="121"/>
    </row>
    <row r="46" spans="1:5">
      <c r="A46" s="175" t="s">
        <v>100</v>
      </c>
      <c r="B46" s="176">
        <v>41230008</v>
      </c>
      <c r="C46" s="121"/>
      <c r="D46" s="121"/>
      <c r="E46" s="121"/>
    </row>
    <row r="47" spans="1:5">
      <c r="A47" s="175" t="s">
        <v>294</v>
      </c>
      <c r="B47" s="176"/>
      <c r="C47" s="121"/>
      <c r="D47" s="121"/>
      <c r="E47" s="121"/>
    </row>
    <row r="48" spans="1:5">
      <c r="A48" s="175" t="s">
        <v>130</v>
      </c>
      <c r="B48" s="176">
        <v>41230003</v>
      </c>
      <c r="C48" s="121">
        <v>50000</v>
      </c>
      <c r="D48" s="121">
        <v>600</v>
      </c>
      <c r="E48" s="121">
        <f>46100+2600+3000+600</f>
        <v>52300</v>
      </c>
    </row>
    <row r="49" spans="1:6">
      <c r="A49" s="175" t="s">
        <v>295</v>
      </c>
      <c r="B49" s="176">
        <v>41239999</v>
      </c>
      <c r="C49" s="121">
        <v>1000</v>
      </c>
      <c r="D49" s="121"/>
      <c r="E49" s="121"/>
    </row>
    <row r="50" spans="1:6">
      <c r="A50" s="175" t="s">
        <v>331</v>
      </c>
      <c r="B50" s="176">
        <v>41210033</v>
      </c>
      <c r="C50" s="121"/>
      <c r="D50" s="121"/>
      <c r="E50" s="121">
        <v>2560</v>
      </c>
    </row>
    <row r="51" spans="1:6">
      <c r="A51" s="210" t="s">
        <v>41</v>
      </c>
      <c r="B51" s="176"/>
      <c r="C51" s="417">
        <f>SUM(C13:C49)</f>
        <v>308900</v>
      </c>
      <c r="D51" s="417">
        <f>SUM(D14:D50)</f>
        <v>2140</v>
      </c>
      <c r="E51" s="417">
        <f>SUM(E14:E50)</f>
        <v>126375</v>
      </c>
      <c r="F51" s="128"/>
    </row>
    <row r="52" spans="1:6">
      <c r="A52" s="211" t="s">
        <v>66</v>
      </c>
      <c r="B52" s="278">
        <v>41300000</v>
      </c>
      <c r="C52" s="121"/>
      <c r="D52" s="121"/>
      <c r="E52" s="121"/>
      <c r="F52" s="128"/>
    </row>
    <row r="53" spans="1:6">
      <c r="A53" s="175" t="s">
        <v>296</v>
      </c>
      <c r="B53" s="176">
        <v>41300003</v>
      </c>
      <c r="C53" s="121">
        <v>150000</v>
      </c>
      <c r="D53" s="121">
        <v>132743.72</v>
      </c>
      <c r="E53" s="121">
        <f>29680.4+46202.74+6535.14+132743.72</f>
        <v>215162</v>
      </c>
      <c r="F53" s="128"/>
    </row>
    <row r="54" spans="1:6">
      <c r="A54" s="175" t="s">
        <v>297</v>
      </c>
      <c r="B54" s="176">
        <v>41300005</v>
      </c>
      <c r="C54" s="121"/>
      <c r="D54" s="121"/>
      <c r="E54" s="121"/>
      <c r="F54" s="128"/>
    </row>
    <row r="55" spans="1:6">
      <c r="A55" s="175" t="s">
        <v>298</v>
      </c>
      <c r="B55" s="176">
        <v>41399999</v>
      </c>
      <c r="C55" s="121"/>
      <c r="D55" s="121"/>
      <c r="E55" s="121">
        <v>330</v>
      </c>
      <c r="F55" s="128"/>
    </row>
    <row r="56" spans="1:6">
      <c r="A56" s="210" t="s">
        <v>41</v>
      </c>
      <c r="B56" s="176"/>
      <c r="C56" s="417">
        <f>SUM(C52:C55)</f>
        <v>150000</v>
      </c>
      <c r="D56" s="417">
        <f>SUM(D53:D55)</f>
        <v>132743.72</v>
      </c>
      <c r="E56" s="417">
        <f>SUM(E53:E55)</f>
        <v>215492</v>
      </c>
      <c r="F56" s="128"/>
    </row>
    <row r="57" spans="1:6">
      <c r="A57" s="211" t="s">
        <v>67</v>
      </c>
      <c r="B57" s="278">
        <v>41400000</v>
      </c>
      <c r="C57" s="121"/>
      <c r="D57" s="121"/>
      <c r="E57" s="121"/>
      <c r="F57" s="128"/>
    </row>
    <row r="58" spans="1:6">
      <c r="A58" s="175" t="s">
        <v>299</v>
      </c>
      <c r="B58" s="176">
        <v>41400006</v>
      </c>
      <c r="C58" s="121">
        <v>500000</v>
      </c>
      <c r="D58" s="121">
        <v>54420</v>
      </c>
      <c r="E58" s="121">
        <f>411715+45305+45995+54420</f>
        <v>557435</v>
      </c>
      <c r="F58" s="128"/>
    </row>
    <row r="59" spans="1:6">
      <c r="A59" s="210" t="s">
        <v>41</v>
      </c>
      <c r="B59" s="176"/>
      <c r="C59" s="417">
        <f>SUM(C58)</f>
        <v>500000</v>
      </c>
      <c r="D59" s="417">
        <f>SUM(D58)</f>
        <v>54420</v>
      </c>
      <c r="E59" s="417">
        <f>SUM(E58)</f>
        <v>557435</v>
      </c>
      <c r="F59" s="128"/>
    </row>
    <row r="60" spans="1:6">
      <c r="A60" s="211" t="s">
        <v>68</v>
      </c>
      <c r="B60" s="278">
        <v>41500000</v>
      </c>
      <c r="C60" s="121"/>
      <c r="D60" s="121"/>
      <c r="E60" s="121"/>
      <c r="F60" s="128"/>
    </row>
    <row r="61" spans="1:6">
      <c r="A61" s="175" t="s">
        <v>300</v>
      </c>
      <c r="B61" s="176">
        <v>41500004</v>
      </c>
      <c r="C61" s="121">
        <v>40000</v>
      </c>
      <c r="D61" s="121"/>
      <c r="E61" s="121">
        <v>16500</v>
      </c>
      <c r="F61" s="128"/>
    </row>
    <row r="62" spans="1:6">
      <c r="A62" s="175" t="s">
        <v>301</v>
      </c>
      <c r="B62" s="176">
        <v>41599999</v>
      </c>
      <c r="C62" s="121">
        <v>150000</v>
      </c>
      <c r="D62" s="121">
        <v>11820</v>
      </c>
      <c r="E62" s="121">
        <f>79820+7960+19620+11820</f>
        <v>119220</v>
      </c>
      <c r="F62" s="128"/>
    </row>
    <row r="63" spans="1:6">
      <c r="A63" s="210" t="s">
        <v>41</v>
      </c>
      <c r="B63" s="176"/>
      <c r="C63" s="417">
        <f>SUM(C61:C62)</f>
        <v>190000</v>
      </c>
      <c r="D63" s="417">
        <f>SUM(D61:D62)</f>
        <v>11820</v>
      </c>
      <c r="E63" s="417">
        <f>SUM(E61:E62)</f>
        <v>135720</v>
      </c>
      <c r="F63" s="128"/>
    </row>
    <row r="64" spans="1:6">
      <c r="A64" s="211" t="s">
        <v>101</v>
      </c>
      <c r="B64" s="278">
        <v>41600000</v>
      </c>
      <c r="C64" s="121"/>
      <c r="D64" s="121"/>
      <c r="E64" s="121"/>
      <c r="F64" s="128"/>
    </row>
    <row r="65" spans="1:6">
      <c r="A65" s="175" t="s">
        <v>302</v>
      </c>
      <c r="B65" s="176">
        <v>41600001</v>
      </c>
      <c r="C65" s="121">
        <v>100</v>
      </c>
      <c r="D65" s="121"/>
      <c r="E65" s="121"/>
      <c r="F65" s="128"/>
    </row>
    <row r="66" spans="1:6">
      <c r="A66" s="177" t="s">
        <v>41</v>
      </c>
      <c r="B66" s="274"/>
      <c r="C66" s="417">
        <f>SUM(C64:C65)</f>
        <v>100</v>
      </c>
      <c r="D66" s="444">
        <f>SUM(D65)</f>
        <v>0</v>
      </c>
      <c r="E66" s="417">
        <f>SUM(E65)</f>
        <v>0</v>
      </c>
      <c r="F66" s="128"/>
    </row>
    <row r="67" spans="1:6">
      <c r="A67" s="173"/>
      <c r="B67" s="134"/>
      <c r="C67" s="125"/>
      <c r="D67" s="125"/>
      <c r="E67" s="125"/>
      <c r="F67" s="128"/>
    </row>
    <row r="68" spans="1:6">
      <c r="A68" s="173"/>
      <c r="B68" s="134"/>
      <c r="C68" s="125"/>
      <c r="D68" s="125"/>
      <c r="E68" s="125"/>
      <c r="F68" s="128"/>
    </row>
    <row r="69" spans="1:6">
      <c r="A69" s="173"/>
      <c r="B69" s="134"/>
      <c r="C69" s="125"/>
      <c r="D69" s="125"/>
      <c r="E69" s="125"/>
      <c r="F69" s="128"/>
    </row>
    <row r="70" spans="1:6">
      <c r="A70" s="173"/>
      <c r="B70" s="134"/>
      <c r="C70" s="125"/>
      <c r="D70" s="125"/>
      <c r="E70" s="125"/>
      <c r="F70" s="128"/>
    </row>
    <row r="71" spans="1:6">
      <c r="A71" s="236"/>
      <c r="B71" s="275"/>
      <c r="C71" s="170"/>
      <c r="D71" s="170"/>
      <c r="E71" s="170"/>
      <c r="F71" s="128"/>
    </row>
    <row r="72" spans="1:6">
      <c r="A72" s="213" t="s">
        <v>84</v>
      </c>
      <c r="B72" s="184"/>
      <c r="C72" s="121"/>
      <c r="D72" s="135"/>
      <c r="E72" s="121"/>
      <c r="F72" s="128"/>
    </row>
    <row r="73" spans="1:6">
      <c r="A73" s="213" t="s">
        <v>83</v>
      </c>
      <c r="B73" s="279">
        <v>42000000</v>
      </c>
      <c r="C73" s="121"/>
      <c r="D73" s="125"/>
      <c r="E73" s="121"/>
      <c r="F73" s="128"/>
    </row>
    <row r="74" spans="1:6">
      <c r="A74" s="211" t="s">
        <v>69</v>
      </c>
      <c r="B74" s="279">
        <v>42100000</v>
      </c>
      <c r="C74" s="121"/>
      <c r="D74" s="125"/>
      <c r="E74" s="121"/>
      <c r="F74" s="128"/>
    </row>
    <row r="75" spans="1:6">
      <c r="A75" s="175" t="s">
        <v>303</v>
      </c>
      <c r="B75" s="184">
        <v>42100004</v>
      </c>
      <c r="C75" s="121">
        <v>3200000</v>
      </c>
      <c r="D75" s="125">
        <v>502374.97</v>
      </c>
      <c r="E75" s="121">
        <f>1350756.55+374669.92+504087.07+199805.46+502374.97</f>
        <v>2931693.9699999997</v>
      </c>
      <c r="F75" s="128"/>
    </row>
    <row r="76" spans="1:6">
      <c r="A76" s="175" t="s">
        <v>304</v>
      </c>
      <c r="B76" s="176">
        <v>42100002</v>
      </c>
      <c r="C76" s="174">
        <v>8200000</v>
      </c>
      <c r="D76" s="174">
        <v>1708505.73</v>
      </c>
      <c r="E76" s="121">
        <f>7590820.76+905664.16+1708505.73</f>
        <v>10204990.65</v>
      </c>
      <c r="F76" s="128"/>
    </row>
    <row r="77" spans="1:6">
      <c r="A77" s="175" t="s">
        <v>305</v>
      </c>
      <c r="B77" s="176">
        <v>42100005</v>
      </c>
      <c r="C77" s="174">
        <v>60000</v>
      </c>
      <c r="D77" s="174"/>
      <c r="E77" s="121">
        <f>61170.96+15755.53</f>
        <v>76926.490000000005</v>
      </c>
      <c r="F77" s="128"/>
    </row>
    <row r="78" spans="1:6">
      <c r="A78" s="175" t="s">
        <v>306</v>
      </c>
      <c r="B78" s="176">
        <v>42100006</v>
      </c>
      <c r="C78" s="174">
        <v>1800000</v>
      </c>
      <c r="D78" s="174"/>
      <c r="E78" s="121"/>
      <c r="F78" s="128"/>
    </row>
    <row r="79" spans="1:6">
      <c r="A79" s="175" t="s">
        <v>307</v>
      </c>
      <c r="B79" s="176">
        <v>42100007</v>
      </c>
      <c r="C79" s="174">
        <v>4000000</v>
      </c>
      <c r="D79" s="174">
        <v>612978.07999999996</v>
      </c>
      <c r="E79" s="121">
        <f>3267227.07+612261.44+641660.61+1201194.42+604118.02+612978.08</f>
        <v>6939439.6400000006</v>
      </c>
      <c r="F79" s="128"/>
    </row>
    <row r="80" spans="1:6">
      <c r="A80" s="175" t="s">
        <v>312</v>
      </c>
      <c r="B80" s="176">
        <v>42100011</v>
      </c>
      <c r="C80" s="121">
        <v>5000</v>
      </c>
      <c r="D80" s="121"/>
      <c r="E80" s="121"/>
      <c r="F80" s="128"/>
    </row>
    <row r="81" spans="1:6">
      <c r="A81" s="175" t="s">
        <v>313</v>
      </c>
      <c r="B81" s="176">
        <v>42100012</v>
      </c>
      <c r="C81" s="121">
        <v>40000</v>
      </c>
      <c r="D81" s="121">
        <v>14274</v>
      </c>
      <c r="E81" s="121">
        <f>14030.9+14500.52+14054.33+14274</f>
        <v>56859.75</v>
      </c>
      <c r="F81" s="128"/>
    </row>
    <row r="82" spans="1:6">
      <c r="A82" s="175" t="s">
        <v>314</v>
      </c>
      <c r="B82" s="176">
        <v>42100013</v>
      </c>
      <c r="C82" s="121">
        <v>100000</v>
      </c>
      <c r="D82" s="121"/>
      <c r="E82" s="121">
        <f>23313.1+17496.28+13256.31</f>
        <v>54065.689999999995</v>
      </c>
      <c r="F82" s="128"/>
    </row>
    <row r="83" spans="1:6">
      <c r="A83" s="175" t="s">
        <v>315</v>
      </c>
      <c r="B83" s="176"/>
      <c r="C83" s="121"/>
      <c r="D83" s="121"/>
      <c r="E83" s="121"/>
      <c r="F83" s="128"/>
    </row>
    <row r="84" spans="1:6">
      <c r="A84" s="175" t="s">
        <v>85</v>
      </c>
      <c r="B84" s="176">
        <v>42100015</v>
      </c>
      <c r="C84" s="121">
        <v>1400000</v>
      </c>
      <c r="D84" s="121">
        <v>92642</v>
      </c>
      <c r="E84" s="121">
        <f>859360+213751+136482+92642</f>
        <v>1302235</v>
      </c>
      <c r="F84" s="128"/>
    </row>
    <row r="85" spans="1:6">
      <c r="A85" s="175" t="s">
        <v>316</v>
      </c>
      <c r="B85" s="176">
        <v>42100017</v>
      </c>
      <c r="C85" s="121">
        <v>30000</v>
      </c>
      <c r="D85" s="121"/>
      <c r="E85" s="121"/>
      <c r="F85" s="128"/>
    </row>
    <row r="86" spans="1:6">
      <c r="A86" s="175" t="s">
        <v>317</v>
      </c>
      <c r="B86" s="176">
        <v>42100001</v>
      </c>
      <c r="C86" s="121">
        <v>600000</v>
      </c>
      <c r="D86" s="121">
        <v>84457.72</v>
      </c>
      <c r="E86" s="121">
        <f>380303.41+6207.79+32846.08+84457.72</f>
        <v>503815</v>
      </c>
      <c r="F86" s="128"/>
    </row>
    <row r="87" spans="1:6">
      <c r="A87" s="210" t="s">
        <v>41</v>
      </c>
      <c r="B87" s="176"/>
      <c r="C87" s="417">
        <f>SUM(C75:C86)</f>
        <v>19435000</v>
      </c>
      <c r="D87" s="417">
        <f>SUM(D72:D86)</f>
        <v>3015232.5000000005</v>
      </c>
      <c r="E87" s="417">
        <f>SUM(E72:E86)</f>
        <v>22070026.190000001</v>
      </c>
      <c r="F87" s="128"/>
    </row>
    <row r="88" spans="1:6">
      <c r="A88" s="213" t="s">
        <v>87</v>
      </c>
      <c r="B88" s="176"/>
      <c r="C88" s="121"/>
      <c r="D88" s="121"/>
      <c r="E88" s="121"/>
      <c r="F88" s="128"/>
    </row>
    <row r="89" spans="1:6">
      <c r="A89" s="213" t="s">
        <v>86</v>
      </c>
      <c r="B89" s="278">
        <v>43000000</v>
      </c>
      <c r="C89" s="121"/>
      <c r="D89" s="121"/>
      <c r="E89" s="121"/>
      <c r="F89" s="128"/>
    </row>
    <row r="90" spans="1:6">
      <c r="A90" s="211" t="s">
        <v>262</v>
      </c>
      <c r="B90" s="278">
        <v>43100000</v>
      </c>
      <c r="C90" s="121"/>
      <c r="D90" s="121"/>
      <c r="E90" s="121"/>
      <c r="F90" s="128"/>
    </row>
    <row r="91" spans="1:6">
      <c r="A91" s="175" t="s">
        <v>268</v>
      </c>
      <c r="B91" s="176">
        <v>43100002</v>
      </c>
      <c r="C91" s="121">
        <v>30000000</v>
      </c>
      <c r="D91" s="121"/>
      <c r="E91" s="121">
        <v>8931245</v>
      </c>
      <c r="F91" s="187"/>
    </row>
    <row r="92" spans="1:6">
      <c r="A92" s="175" t="s">
        <v>318</v>
      </c>
      <c r="B92" s="176">
        <v>43100002</v>
      </c>
      <c r="C92" s="121"/>
      <c r="D92" s="121"/>
      <c r="E92" s="121">
        <f>24000+12000+15000</f>
        <v>51000</v>
      </c>
      <c r="F92" s="187"/>
    </row>
    <row r="93" spans="1:6">
      <c r="A93" s="175" t="s">
        <v>333</v>
      </c>
      <c r="B93" s="176">
        <v>43100002</v>
      </c>
      <c r="C93" s="121"/>
      <c r="D93" s="174">
        <v>167800</v>
      </c>
      <c r="E93" s="121">
        <f>4371000+2185500+2185500+167800</f>
        <v>8909800</v>
      </c>
      <c r="F93" s="187"/>
    </row>
    <row r="94" spans="1:6">
      <c r="A94" s="175" t="s">
        <v>334</v>
      </c>
      <c r="B94" s="176">
        <v>43100002</v>
      </c>
      <c r="C94" s="121"/>
      <c r="D94" s="174">
        <v>112000</v>
      </c>
      <c r="E94" s="121">
        <f>808800+398400+398400-12000+124000</f>
        <v>1717600</v>
      </c>
      <c r="F94" s="187"/>
    </row>
    <row r="95" spans="1:6">
      <c r="A95" s="230" t="s">
        <v>335</v>
      </c>
      <c r="B95" s="176">
        <v>43100002</v>
      </c>
      <c r="C95" s="174"/>
      <c r="D95" s="243"/>
      <c r="E95" s="243">
        <f>3420+1710+1710</f>
        <v>6840</v>
      </c>
      <c r="F95" s="187"/>
    </row>
    <row r="96" spans="1:6">
      <c r="A96" s="230" t="s">
        <v>336</v>
      </c>
      <c r="B96" s="176">
        <v>43100002</v>
      </c>
      <c r="C96" s="174"/>
      <c r="D96" s="243"/>
      <c r="E96" s="243">
        <f>56400+28200+28200</f>
        <v>112800</v>
      </c>
      <c r="F96" s="187"/>
    </row>
    <row r="97" spans="1:6">
      <c r="A97" s="230" t="s">
        <v>337</v>
      </c>
      <c r="B97" s="176">
        <v>43100002</v>
      </c>
      <c r="C97" s="174"/>
      <c r="D97" s="243"/>
      <c r="E97" s="243">
        <f>12000+6000+6000</f>
        <v>24000</v>
      </c>
      <c r="F97" s="187"/>
    </row>
    <row r="98" spans="1:6">
      <c r="A98" s="230" t="s">
        <v>338</v>
      </c>
      <c r="B98" s="176">
        <v>43100002</v>
      </c>
      <c r="C98" s="174"/>
      <c r="D98" s="243"/>
      <c r="E98" s="243">
        <f>890010+462000+447510+24480</f>
        <v>1824000</v>
      </c>
      <c r="F98" s="187"/>
    </row>
    <row r="99" spans="1:6">
      <c r="A99" s="230" t="s">
        <v>267</v>
      </c>
      <c r="B99" s="176">
        <v>43100002</v>
      </c>
      <c r="C99" s="174"/>
      <c r="D99" s="243"/>
      <c r="E99" s="243">
        <v>430100</v>
      </c>
      <c r="F99" s="187"/>
    </row>
    <row r="100" spans="1:6">
      <c r="A100" s="230" t="s">
        <v>310</v>
      </c>
      <c r="B100" s="176">
        <v>43100002</v>
      </c>
      <c r="C100" s="174"/>
      <c r="D100" s="243"/>
      <c r="E100" s="243">
        <f>249106+124553+109200</f>
        <v>482859</v>
      </c>
      <c r="F100" s="187"/>
    </row>
    <row r="101" spans="1:6">
      <c r="A101" s="230" t="s">
        <v>311</v>
      </c>
      <c r="B101" s="176">
        <v>43100002</v>
      </c>
      <c r="C101" s="121"/>
      <c r="D101" s="380"/>
      <c r="E101" s="243">
        <f>650000+312000+252000</f>
        <v>1214000</v>
      </c>
      <c r="F101" s="187"/>
    </row>
    <row r="102" spans="1:6">
      <c r="A102" s="230" t="s">
        <v>343</v>
      </c>
      <c r="B102" s="176">
        <v>43100002</v>
      </c>
      <c r="C102" s="121"/>
      <c r="D102" s="380"/>
      <c r="E102" s="243">
        <f>490067+242878+234112+21937</f>
        <v>988994</v>
      </c>
      <c r="F102" s="187"/>
    </row>
    <row r="103" spans="1:6">
      <c r="A103" s="418" t="s">
        <v>344</v>
      </c>
      <c r="B103" s="442">
        <v>43100002</v>
      </c>
      <c r="C103" s="132"/>
      <c r="D103" s="443"/>
      <c r="E103" s="325">
        <f>1023000+507000+486080+9920</f>
        <v>2026000</v>
      </c>
      <c r="F103" s="187"/>
    </row>
    <row r="104" spans="1:6">
      <c r="A104" s="187"/>
      <c r="B104" s="134"/>
      <c r="C104" s="125"/>
      <c r="D104" s="240"/>
      <c r="E104" s="240"/>
      <c r="F104" s="187"/>
    </row>
    <row r="105" spans="1:6">
      <c r="A105" s="187"/>
      <c r="B105" s="134"/>
      <c r="C105" s="125"/>
      <c r="D105" s="240"/>
      <c r="E105" s="240"/>
      <c r="F105" s="187"/>
    </row>
    <row r="106" spans="1:6">
      <c r="A106" s="448"/>
      <c r="B106" s="275"/>
      <c r="C106" s="170"/>
      <c r="D106" s="449"/>
      <c r="E106" s="449"/>
      <c r="F106" s="187"/>
    </row>
    <row r="107" spans="1:6">
      <c r="A107" s="230" t="s">
        <v>345</v>
      </c>
      <c r="B107" s="176">
        <v>43100002</v>
      </c>
      <c r="C107" s="121"/>
      <c r="D107" s="380">
        <v>-3150</v>
      </c>
      <c r="E107" s="243">
        <f>7450+7700-3150</f>
        <v>12000</v>
      </c>
      <c r="F107" s="187"/>
    </row>
    <row r="108" spans="1:6">
      <c r="A108" s="230" t="s">
        <v>357</v>
      </c>
      <c r="B108" s="176">
        <v>43100002</v>
      </c>
      <c r="C108" s="121"/>
      <c r="D108" s="380"/>
      <c r="E108" s="243">
        <v>280000</v>
      </c>
      <c r="F108" s="187"/>
    </row>
    <row r="109" spans="1:6">
      <c r="A109" s="210" t="s">
        <v>41</v>
      </c>
      <c r="B109" s="176"/>
      <c r="C109" s="417">
        <f>SUM(C91)</f>
        <v>30000000</v>
      </c>
      <c r="D109" s="417">
        <f>SUM(D91:D108)</f>
        <v>276650</v>
      </c>
      <c r="E109" s="417">
        <f>SUM(E91:E108)</f>
        <v>27011238</v>
      </c>
      <c r="F109" s="187"/>
    </row>
    <row r="110" spans="1:6">
      <c r="A110" s="397" t="s">
        <v>264</v>
      </c>
      <c r="B110" s="184"/>
      <c r="C110" s="174"/>
      <c r="D110" s="174"/>
      <c r="E110" s="121"/>
      <c r="F110" s="295"/>
    </row>
    <row r="111" spans="1:6">
      <c r="A111" s="397" t="s">
        <v>263</v>
      </c>
      <c r="B111" s="279">
        <v>44000000</v>
      </c>
      <c r="C111" s="174"/>
      <c r="D111" s="174"/>
      <c r="E111" s="121"/>
      <c r="F111" s="295"/>
    </row>
    <row r="112" spans="1:6">
      <c r="A112" s="211" t="s">
        <v>261</v>
      </c>
      <c r="B112" s="279">
        <v>44100000</v>
      </c>
      <c r="C112" s="174"/>
      <c r="D112" s="174"/>
      <c r="E112" s="121"/>
      <c r="F112" s="209"/>
    </row>
    <row r="113" spans="1:6">
      <c r="A113" s="213" t="s">
        <v>266</v>
      </c>
      <c r="B113" s="279"/>
      <c r="C113" s="174"/>
      <c r="D113" s="121"/>
      <c r="E113" s="135"/>
      <c r="F113" s="180"/>
    </row>
    <row r="114" spans="1:6">
      <c r="A114" s="213" t="s">
        <v>265</v>
      </c>
      <c r="B114" s="278">
        <v>44100001</v>
      </c>
      <c r="C114" s="125"/>
      <c r="D114" s="121"/>
      <c r="E114" s="121"/>
      <c r="F114" s="180"/>
    </row>
    <row r="115" spans="1:6">
      <c r="A115" s="175" t="s">
        <v>339</v>
      </c>
      <c r="B115" s="184">
        <v>44100001</v>
      </c>
      <c r="C115" s="121"/>
      <c r="D115" s="121">
        <v>-48096</v>
      </c>
      <c r="E115" s="121">
        <f>47976+23988+143928-48096</f>
        <v>167796</v>
      </c>
      <c r="F115" s="180"/>
    </row>
    <row r="116" spans="1:6">
      <c r="A116" s="175" t="s">
        <v>352</v>
      </c>
      <c r="B116" s="184">
        <v>44100001</v>
      </c>
      <c r="C116" s="121"/>
      <c r="D116" s="121">
        <v>-1424.25</v>
      </c>
      <c r="E116" s="121">
        <f>5497-1424.25</f>
        <v>4072.75</v>
      </c>
      <c r="F116" s="209"/>
    </row>
    <row r="117" spans="1:6">
      <c r="A117" s="175" t="s">
        <v>353</v>
      </c>
      <c r="B117" s="184">
        <v>44100001</v>
      </c>
      <c r="C117" s="174"/>
      <c r="D117" s="174">
        <v>-28485.16</v>
      </c>
      <c r="E117" s="121">
        <f>109940-28485.16</f>
        <v>81454.84</v>
      </c>
      <c r="F117" s="209"/>
    </row>
    <row r="118" spans="1:6">
      <c r="A118" s="230" t="s">
        <v>381</v>
      </c>
      <c r="B118" s="184">
        <v>44100001</v>
      </c>
      <c r="C118" s="174"/>
      <c r="D118" s="174">
        <v>-1860</v>
      </c>
      <c r="E118" s="121">
        <f>114600+59160+59160-1860</f>
        <v>231060</v>
      </c>
      <c r="F118" s="209"/>
    </row>
    <row r="119" spans="1:6">
      <c r="A119" s="230" t="s">
        <v>382</v>
      </c>
      <c r="B119" s="184"/>
      <c r="C119" s="174"/>
      <c r="D119" s="174"/>
      <c r="E119" s="121">
        <v>985.76</v>
      </c>
      <c r="F119" s="209"/>
    </row>
    <row r="120" spans="1:6">
      <c r="A120" s="230" t="s">
        <v>383</v>
      </c>
      <c r="B120" s="184">
        <v>44100001</v>
      </c>
      <c r="C120" s="174"/>
      <c r="D120" s="174"/>
      <c r="E120" s="121">
        <f>3474+390</f>
        <v>3864</v>
      </c>
      <c r="F120" s="209"/>
    </row>
    <row r="121" spans="1:6">
      <c r="A121" s="230" t="s">
        <v>386</v>
      </c>
      <c r="B121" s="184">
        <v>44100001</v>
      </c>
      <c r="C121" s="174"/>
      <c r="D121" s="174"/>
      <c r="E121" s="121">
        <f>7950+7950+6840</f>
        <v>22740</v>
      </c>
      <c r="F121" s="209"/>
    </row>
    <row r="122" spans="1:6">
      <c r="A122" s="230" t="s">
        <v>387</v>
      </c>
      <c r="B122" s="184">
        <v>44100001</v>
      </c>
      <c r="C122" s="174"/>
      <c r="D122" s="174">
        <v>1089</v>
      </c>
      <c r="E122" s="121">
        <f>795+795+684+1089</f>
        <v>3363</v>
      </c>
      <c r="F122" s="209"/>
    </row>
    <row r="123" spans="1:6">
      <c r="A123" s="230" t="s">
        <v>392</v>
      </c>
      <c r="B123" s="184">
        <v>44100001</v>
      </c>
      <c r="C123" s="174"/>
      <c r="D123" s="174"/>
      <c r="E123" s="121">
        <f>1136352+1854048</f>
        <v>2990400</v>
      </c>
      <c r="F123" s="209"/>
    </row>
    <row r="124" spans="1:6">
      <c r="A124" s="230" t="s">
        <v>400</v>
      </c>
      <c r="B124" s="184">
        <v>44100001</v>
      </c>
      <c r="C124" s="219"/>
      <c r="D124" s="219"/>
      <c r="E124" s="132">
        <v>40000</v>
      </c>
      <c r="F124" s="209"/>
    </row>
    <row r="125" spans="1:6">
      <c r="A125" s="210" t="s">
        <v>41</v>
      </c>
      <c r="B125" s="184"/>
      <c r="C125" s="440"/>
      <c r="D125" s="440">
        <f>SUM(D115:D124)</f>
        <v>-78776.41</v>
      </c>
      <c r="E125" s="459">
        <f>SUM(E115:E124)</f>
        <v>3545736.35</v>
      </c>
      <c r="F125" s="209"/>
    </row>
    <row r="126" spans="1:6" ht="24" thickBot="1">
      <c r="A126" s="177" t="s">
        <v>90</v>
      </c>
      <c r="B126" s="274"/>
      <c r="C126" s="441">
        <f>C12+C51+C56+C59+C63+C66+C87+C109+C125</f>
        <v>51450000</v>
      </c>
      <c r="D126" s="441">
        <f>D12+D51+D56+D59+D63+D66+D87+D109+D125</f>
        <v>3457322.5600000005</v>
      </c>
      <c r="E126" s="441">
        <f>E12+E51+E56+E59+E63+E66+E87+E109+E125</f>
        <v>54424788.020000003</v>
      </c>
      <c r="F126" s="209"/>
    </row>
    <row r="127" spans="1:6" ht="24" thickTop="1">
      <c r="A127" s="187"/>
      <c r="B127" s="134"/>
      <c r="C127" s="240"/>
      <c r="D127" s="240"/>
      <c r="E127" s="240"/>
      <c r="F127" s="179"/>
    </row>
    <row r="128" spans="1:6">
      <c r="A128" s="187"/>
      <c r="B128" s="134"/>
      <c r="C128" s="240"/>
      <c r="D128" s="240"/>
      <c r="E128" s="240"/>
      <c r="F128" s="180"/>
    </row>
    <row r="129" spans="1:6">
      <c r="A129" s="187"/>
      <c r="B129" s="134"/>
      <c r="C129" s="240"/>
      <c r="D129" s="240"/>
      <c r="E129" s="240"/>
      <c r="F129" s="180"/>
    </row>
    <row r="130" spans="1:6">
      <c r="A130" s="187"/>
      <c r="B130" s="134"/>
      <c r="C130" s="240"/>
      <c r="D130" s="240"/>
      <c r="E130" s="240"/>
      <c r="F130" s="180"/>
    </row>
    <row r="131" spans="1:6">
      <c r="A131" s="187"/>
      <c r="B131" s="134"/>
      <c r="C131" s="240"/>
      <c r="D131" s="240"/>
      <c r="E131" s="240"/>
      <c r="F131" s="180"/>
    </row>
    <row r="132" spans="1:6">
      <c r="A132" s="187"/>
      <c r="B132" s="134"/>
      <c r="C132" s="240"/>
      <c r="D132" s="240"/>
      <c r="E132" s="240"/>
      <c r="F132" s="180"/>
    </row>
    <row r="133" spans="1:6">
      <c r="A133" s="187"/>
      <c r="B133" s="134"/>
      <c r="C133" s="240"/>
      <c r="D133" s="240"/>
      <c r="E133" s="240"/>
      <c r="F133" s="180"/>
    </row>
    <row r="134" spans="1:6">
      <c r="A134" s="187"/>
      <c r="B134" s="134"/>
      <c r="C134" s="240"/>
      <c r="D134" s="240"/>
      <c r="E134" s="240"/>
      <c r="F134" s="180"/>
    </row>
    <row r="135" spans="1:6">
      <c r="A135" s="187"/>
      <c r="B135" s="134"/>
      <c r="C135" s="240"/>
      <c r="D135" s="240"/>
      <c r="E135" s="240"/>
      <c r="F135" s="180"/>
    </row>
    <row r="136" spans="1:6">
      <c r="A136" s="187"/>
      <c r="B136" s="134"/>
      <c r="C136" s="240"/>
      <c r="D136" s="240"/>
      <c r="E136" s="240"/>
      <c r="F136" s="180"/>
    </row>
    <row r="137" spans="1:6">
      <c r="A137" s="187"/>
      <c r="B137" s="134"/>
      <c r="C137" s="240"/>
      <c r="D137" s="240"/>
      <c r="E137" s="240"/>
      <c r="F137" s="180"/>
    </row>
    <row r="138" spans="1:6">
      <c r="A138" s="173"/>
      <c r="B138" s="438"/>
      <c r="C138" s="240"/>
      <c r="D138" s="240"/>
      <c r="E138" s="240"/>
      <c r="F138" s="123"/>
    </row>
    <row r="139" spans="1:6">
      <c r="A139" s="173"/>
      <c r="B139" s="134"/>
      <c r="C139" s="439"/>
      <c r="D139" s="439"/>
      <c r="E139" s="439"/>
      <c r="F139" s="128"/>
    </row>
    <row r="140" spans="1:6">
      <c r="A140" s="128"/>
      <c r="B140" s="276"/>
      <c r="C140" s="214"/>
      <c r="D140" s="214"/>
      <c r="E140" s="128"/>
      <c r="F140" s="181"/>
    </row>
    <row r="141" spans="1:6">
      <c r="A141" s="128"/>
      <c r="B141" s="276"/>
      <c r="C141" s="214"/>
      <c r="D141" s="214"/>
      <c r="E141" s="123"/>
      <c r="F141" s="128"/>
    </row>
    <row r="142" spans="1:6">
      <c r="A142" s="128"/>
      <c r="B142" s="276"/>
      <c r="C142" s="214"/>
      <c r="D142" s="214"/>
      <c r="E142" s="128"/>
      <c r="F142" s="128"/>
    </row>
    <row r="143" spans="1:6">
      <c r="A143" s="128"/>
      <c r="B143" s="276"/>
      <c r="C143" s="214"/>
      <c r="D143" s="214"/>
      <c r="E143" s="181"/>
      <c r="F143" s="128"/>
    </row>
    <row r="144" spans="1:6">
      <c r="A144" s="128"/>
      <c r="B144" s="276"/>
      <c r="C144" s="214"/>
      <c r="D144" s="214"/>
      <c r="E144" s="128"/>
      <c r="F144" s="128"/>
    </row>
    <row r="145" spans="1:6">
      <c r="A145" s="128"/>
      <c r="B145" s="276"/>
      <c r="C145" s="214"/>
      <c r="D145" s="214"/>
      <c r="E145" s="128"/>
      <c r="F145" s="128"/>
    </row>
    <row r="146" spans="1:6">
      <c r="A146" s="128"/>
      <c r="B146" s="276"/>
      <c r="C146" s="214"/>
      <c r="D146" s="214"/>
      <c r="E146" s="128"/>
      <c r="F146" s="128"/>
    </row>
    <row r="147" spans="1:6">
      <c r="A147" s="128"/>
      <c r="B147" s="276"/>
      <c r="C147" s="214"/>
      <c r="D147" s="214"/>
      <c r="E147" s="128"/>
      <c r="F147" s="128"/>
    </row>
    <row r="148" spans="1:6">
      <c r="A148" s="128"/>
      <c r="B148" s="276"/>
      <c r="C148" s="214"/>
      <c r="D148" s="214"/>
      <c r="E148" s="128"/>
      <c r="F148" s="128"/>
    </row>
    <row r="149" spans="1:6">
      <c r="A149" s="128"/>
      <c r="B149" s="276"/>
      <c r="C149" s="214"/>
      <c r="D149" s="214"/>
      <c r="E149" s="128"/>
      <c r="F149" s="128"/>
    </row>
    <row r="150" spans="1:6">
      <c r="A150" s="128"/>
      <c r="B150" s="276"/>
      <c r="C150" s="214"/>
      <c r="D150" s="214"/>
      <c r="E150" s="128"/>
      <c r="F150" s="128"/>
    </row>
    <row r="151" spans="1:6">
      <c r="A151" s="128"/>
      <c r="B151" s="277"/>
      <c r="C151" s="128"/>
      <c r="D151" s="128"/>
      <c r="E151" s="128"/>
      <c r="F151" s="128"/>
    </row>
    <row r="152" spans="1:6">
      <c r="A152" s="128"/>
      <c r="B152" s="277"/>
      <c r="C152" s="128"/>
      <c r="D152" s="128"/>
      <c r="E152" s="128"/>
      <c r="F152" s="128"/>
    </row>
    <row r="153" spans="1:6">
      <c r="A153" s="128"/>
      <c r="B153" s="277"/>
      <c r="C153" s="128"/>
      <c r="D153" s="128"/>
      <c r="E153" s="128"/>
      <c r="F153" s="128"/>
    </row>
    <row r="154" spans="1:6">
      <c r="A154" s="128"/>
      <c r="B154" s="277"/>
      <c r="C154" s="128"/>
      <c r="D154" s="128"/>
      <c r="E154" s="128"/>
      <c r="F154" s="128"/>
    </row>
    <row r="155" spans="1:6">
      <c r="A155" s="128"/>
      <c r="B155" s="277"/>
      <c r="C155" s="128"/>
      <c r="D155" s="128"/>
      <c r="E155" s="128"/>
      <c r="F155" s="128"/>
    </row>
    <row r="156" spans="1:6">
      <c r="A156" s="128"/>
      <c r="B156" s="277"/>
      <c r="C156" s="128"/>
      <c r="D156" s="128"/>
      <c r="E156" s="128"/>
      <c r="F156" s="128"/>
    </row>
    <row r="157" spans="1:6">
      <c r="A157" s="128"/>
      <c r="B157" s="128"/>
      <c r="C157" s="128"/>
      <c r="D157" s="128"/>
      <c r="E157" s="128"/>
      <c r="F157" s="128"/>
    </row>
    <row r="158" spans="1:6">
      <c r="A158" s="128"/>
      <c r="B158" s="128"/>
      <c r="C158" s="128"/>
      <c r="D158" s="128"/>
      <c r="E158" s="128"/>
      <c r="F158" s="128"/>
    </row>
    <row r="159" spans="1:6">
      <c r="A159" s="128"/>
      <c r="B159" s="128"/>
      <c r="C159" s="128"/>
      <c r="D159" s="128"/>
      <c r="E159" s="128"/>
      <c r="F159" s="128"/>
    </row>
    <row r="160" spans="1:6">
      <c r="A160" s="128"/>
      <c r="B160" s="128"/>
      <c r="C160" s="128"/>
      <c r="D160" s="128"/>
      <c r="E160" s="128"/>
      <c r="F160" s="128"/>
    </row>
    <row r="161" spans="1:6">
      <c r="A161" s="128"/>
      <c r="B161" s="128"/>
      <c r="C161" s="128"/>
      <c r="D161" s="128"/>
      <c r="E161" s="128"/>
      <c r="F161" s="128"/>
    </row>
    <row r="162" spans="1:6">
      <c r="A162" s="128"/>
      <c r="B162" s="128"/>
      <c r="C162" s="128"/>
      <c r="D162" s="128"/>
      <c r="E162" s="128"/>
      <c r="F162" s="128"/>
    </row>
    <row r="163" spans="1:6">
      <c r="A163" s="128"/>
      <c r="B163" s="128"/>
      <c r="C163" s="128"/>
      <c r="D163" s="128"/>
      <c r="E163" s="128"/>
      <c r="F163" s="128"/>
    </row>
    <row r="164" spans="1:6">
      <c r="A164" s="128"/>
      <c r="B164" s="128"/>
      <c r="C164" s="128"/>
      <c r="D164" s="128"/>
      <c r="E164" s="128"/>
    </row>
    <row r="165" spans="1:6">
      <c r="A165" s="128"/>
      <c r="B165" s="128"/>
      <c r="C165" s="128"/>
      <c r="D165" s="128"/>
      <c r="E165" s="128"/>
    </row>
    <row r="166" spans="1:6">
      <c r="A166" s="128"/>
      <c r="B166" s="128"/>
      <c r="C166" s="128"/>
      <c r="D166" s="128"/>
      <c r="E166" s="128"/>
    </row>
    <row r="167" spans="1:6">
      <c r="A167" s="128"/>
      <c r="B167" s="128"/>
      <c r="C167" s="128"/>
      <c r="D167" s="128"/>
      <c r="E167" s="128"/>
    </row>
    <row r="168" spans="1:6">
      <c r="A168" s="128"/>
      <c r="B168" s="128"/>
      <c r="C168" s="128"/>
      <c r="D168" s="128"/>
      <c r="E168" s="128"/>
    </row>
    <row r="169" spans="1:6">
      <c r="A169" s="128"/>
      <c r="B169" s="128"/>
      <c r="C169" s="128"/>
      <c r="D169" s="128"/>
      <c r="E169" s="128"/>
    </row>
    <row r="170" spans="1:6">
      <c r="A170" s="128"/>
      <c r="B170" s="128"/>
      <c r="C170" s="128"/>
      <c r="D170" s="128"/>
      <c r="E170" s="128"/>
    </row>
    <row r="171" spans="1:6">
      <c r="A171" s="128"/>
      <c r="B171" s="128"/>
      <c r="C171" s="128"/>
      <c r="D171" s="128"/>
      <c r="E171" s="128"/>
    </row>
    <row r="172" spans="1:6">
      <c r="A172" s="128"/>
      <c r="B172" s="128"/>
      <c r="C172" s="128"/>
      <c r="D172" s="128"/>
      <c r="E172" s="128"/>
    </row>
    <row r="173" spans="1:6">
      <c r="A173" s="128"/>
      <c r="B173" s="128"/>
      <c r="C173" s="128"/>
      <c r="D173" s="128"/>
      <c r="E173" s="128"/>
    </row>
    <row r="174" spans="1:6">
      <c r="A174" s="128"/>
      <c r="B174" s="128"/>
      <c r="C174" s="128"/>
      <c r="D174" s="128"/>
      <c r="E174" s="128"/>
    </row>
    <row r="175" spans="1:6">
      <c r="A175" s="128"/>
      <c r="B175" s="128"/>
      <c r="C175" s="128"/>
      <c r="D175" s="128"/>
      <c r="E175" s="128"/>
    </row>
    <row r="176" spans="1:6">
      <c r="A176" s="128"/>
      <c r="B176" s="128"/>
      <c r="C176" s="128"/>
      <c r="D176" s="128"/>
      <c r="E176" s="128"/>
    </row>
    <row r="177" spans="1:5">
      <c r="A177" s="128"/>
      <c r="B177" s="128"/>
      <c r="C177" s="128"/>
      <c r="D177" s="128"/>
      <c r="E177" s="128"/>
    </row>
    <row r="178" spans="1:5">
      <c r="A178" s="128"/>
      <c r="B178" s="128"/>
      <c r="C178" s="128"/>
      <c r="D178" s="128"/>
      <c r="E178" s="128"/>
    </row>
    <row r="179" spans="1:5">
      <c r="A179" s="128"/>
      <c r="B179" s="128"/>
      <c r="C179" s="128"/>
      <c r="D179" s="128"/>
      <c r="E179" s="128"/>
    </row>
    <row r="180" spans="1:5">
      <c r="A180" s="128"/>
      <c r="B180" s="128"/>
      <c r="C180" s="128"/>
      <c r="D180" s="128"/>
      <c r="E180" s="128"/>
    </row>
    <row r="181" spans="1:5">
      <c r="A181" s="128"/>
      <c r="B181" s="128"/>
      <c r="C181" s="128"/>
      <c r="D181" s="128"/>
      <c r="E181" s="128"/>
    </row>
    <row r="182" spans="1:5">
      <c r="A182" s="128"/>
      <c r="B182" s="128"/>
      <c r="C182" s="128"/>
      <c r="D182" s="128"/>
      <c r="E182" s="128"/>
    </row>
    <row r="183" spans="1:5">
      <c r="A183" s="128"/>
      <c r="B183" s="128"/>
      <c r="C183" s="128"/>
      <c r="D183" s="128"/>
      <c r="E183" s="128"/>
    </row>
    <row r="184" spans="1:5">
      <c r="A184" s="128"/>
      <c r="B184" s="128"/>
      <c r="C184" s="128"/>
      <c r="D184" s="128"/>
      <c r="E184" s="128"/>
    </row>
    <row r="185" spans="1:5">
      <c r="A185" s="128"/>
      <c r="B185" s="128"/>
      <c r="C185" s="128"/>
      <c r="D185" s="128"/>
      <c r="E185" s="128"/>
    </row>
    <row r="186" spans="1:5">
      <c r="A186" s="128"/>
      <c r="B186" s="128"/>
      <c r="C186" s="128"/>
      <c r="D186" s="128"/>
      <c r="E186" s="128"/>
    </row>
    <row r="187" spans="1:5">
      <c r="A187" s="128"/>
      <c r="B187" s="128"/>
      <c r="C187" s="128"/>
      <c r="D187" s="128"/>
      <c r="E187" s="128"/>
    </row>
    <row r="188" spans="1:5">
      <c r="A188" s="128"/>
      <c r="B188" s="128"/>
      <c r="C188" s="128"/>
      <c r="D188" s="128"/>
      <c r="E188" s="128"/>
    </row>
    <row r="189" spans="1:5">
      <c r="A189" s="128"/>
      <c r="B189" s="128"/>
      <c r="C189" s="128"/>
      <c r="D189" s="128"/>
      <c r="E189" s="128"/>
    </row>
    <row r="190" spans="1:5">
      <c r="A190" s="128"/>
      <c r="B190" s="128"/>
      <c r="C190" s="128"/>
      <c r="D190" s="128"/>
      <c r="E190" s="128"/>
    </row>
    <row r="191" spans="1:5">
      <c r="A191" s="128"/>
      <c r="B191" s="128"/>
      <c r="C191" s="128"/>
      <c r="D191" s="128"/>
      <c r="E191" s="128"/>
    </row>
    <row r="192" spans="1:5">
      <c r="E192" s="128"/>
    </row>
    <row r="193" spans="5:5">
      <c r="E193" s="128"/>
    </row>
    <row r="194" spans="5:5">
      <c r="E194" s="128"/>
    </row>
    <row r="195" spans="5:5">
      <c r="E195" s="128"/>
    </row>
    <row r="196" spans="5:5">
      <c r="E196" s="128"/>
    </row>
    <row r="197" spans="5:5">
      <c r="E197" s="128"/>
    </row>
    <row r="198" spans="5:5">
      <c r="E198" s="128"/>
    </row>
    <row r="199" spans="5:5">
      <c r="E199" s="128"/>
    </row>
    <row r="200" spans="5:5">
      <c r="E200" s="128"/>
    </row>
    <row r="201" spans="5:5">
      <c r="E201" s="128"/>
    </row>
    <row r="202" spans="5:5">
      <c r="E202" s="128"/>
    </row>
    <row r="203" spans="5:5">
      <c r="E203" s="128"/>
    </row>
    <row r="204" spans="5:5">
      <c r="E204" s="128"/>
    </row>
    <row r="205" spans="5:5">
      <c r="E205" s="128"/>
    </row>
    <row r="206" spans="5:5">
      <c r="E206" s="128"/>
    </row>
    <row r="207" spans="5:5">
      <c r="E207" s="128"/>
    </row>
    <row r="208" spans="5:5">
      <c r="E208" s="128"/>
    </row>
    <row r="209" spans="5:5">
      <c r="E209" s="128"/>
    </row>
  </sheetData>
  <mergeCells count="3">
    <mergeCell ref="A3:E3"/>
    <mergeCell ref="A4:E4"/>
    <mergeCell ref="A2:E2"/>
  </mergeCells>
  <phoneticPr fontId="3" type="noConversion"/>
  <pageMargins left="0.5" right="0.18" top="0.33" bottom="0.39" header="0.22" footer="0.3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1"/>
  <sheetViews>
    <sheetView zoomScale="110" zoomScaleNormal="110" workbookViewId="0">
      <selection activeCell="J40" sqref="I40:K40"/>
    </sheetView>
  </sheetViews>
  <sheetFormatPr defaultRowHeight="23.25"/>
  <cols>
    <col min="1" max="1" width="12.42578125" style="1" customWidth="1"/>
    <col min="2" max="2" width="11.140625" style="1" customWidth="1"/>
    <col min="3" max="3" width="12.42578125" style="1" customWidth="1"/>
    <col min="4" max="4" width="12.28515625" style="1" customWidth="1"/>
    <col min="5" max="5" width="29.85546875" style="1" customWidth="1"/>
    <col min="6" max="6" width="10.42578125" style="1" customWidth="1"/>
    <col min="7" max="8" width="13.5703125" style="1" customWidth="1"/>
    <col min="9" max="9" width="15.140625" style="1" customWidth="1"/>
    <col min="10" max="10" width="17.140625" style="1" customWidth="1"/>
    <col min="11" max="11" width="16.42578125" style="1" customWidth="1"/>
    <col min="12" max="12" width="12.28515625" style="1" customWidth="1"/>
    <col min="13" max="13" width="14.140625" style="1" customWidth="1"/>
    <col min="14" max="14" width="13.140625" style="17" bestFit="1" customWidth="1"/>
    <col min="15" max="15" width="17" style="1" customWidth="1"/>
    <col min="16" max="16" width="9.28515625" style="1" bestFit="1" customWidth="1"/>
    <col min="17" max="17" width="14.5703125" style="1" customWidth="1"/>
    <col min="18" max="16384" width="9.140625" style="1"/>
  </cols>
  <sheetData>
    <row r="1" spans="1:12">
      <c r="A1" s="535" t="s">
        <v>53</v>
      </c>
      <c r="B1" s="535"/>
      <c r="C1" s="535"/>
      <c r="D1" s="535"/>
      <c r="E1" s="535"/>
      <c r="F1" s="535"/>
      <c r="G1" s="535"/>
      <c r="H1" s="227"/>
      <c r="I1" s="128"/>
      <c r="J1" s="128"/>
    </row>
    <row r="2" spans="1:12">
      <c r="A2" s="535" t="s">
        <v>20</v>
      </c>
      <c r="B2" s="535"/>
      <c r="C2" s="535"/>
      <c r="D2" s="535"/>
      <c r="E2" s="535"/>
      <c r="F2" s="535"/>
      <c r="G2" s="535"/>
      <c r="H2" s="227"/>
      <c r="I2" s="128"/>
      <c r="J2" s="128"/>
    </row>
    <row r="3" spans="1:12">
      <c r="A3" s="535" t="s">
        <v>434</v>
      </c>
      <c r="B3" s="535"/>
      <c r="C3" s="535"/>
      <c r="D3" s="535"/>
      <c r="E3" s="535"/>
      <c r="F3" s="535"/>
      <c r="G3" s="535"/>
      <c r="H3" s="227"/>
      <c r="I3" s="128"/>
      <c r="J3" s="128"/>
    </row>
    <row r="4" spans="1:12">
      <c r="A4" s="39"/>
      <c r="B4" s="39"/>
      <c r="C4" s="39"/>
      <c r="D4" s="39"/>
      <c r="E4" s="39"/>
      <c r="F4" s="536"/>
      <c r="G4" s="536"/>
      <c r="H4" s="525"/>
      <c r="I4" s="128"/>
      <c r="J4" s="128"/>
    </row>
    <row r="5" spans="1:12">
      <c r="A5" s="537" t="s">
        <v>16</v>
      </c>
      <c r="B5" s="538"/>
      <c r="C5" s="538"/>
      <c r="D5" s="539"/>
      <c r="E5" s="540" t="s">
        <v>18</v>
      </c>
      <c r="F5" s="543" t="s">
        <v>1</v>
      </c>
      <c r="G5" s="546" t="s">
        <v>146</v>
      </c>
      <c r="H5" s="526"/>
      <c r="I5" s="128"/>
      <c r="J5" s="128"/>
      <c r="K5" s="128"/>
      <c r="L5" s="128"/>
    </row>
    <row r="6" spans="1:12">
      <c r="A6" s="546" t="s">
        <v>144</v>
      </c>
      <c r="B6" s="546" t="s">
        <v>145</v>
      </c>
      <c r="C6" s="249"/>
      <c r="D6" s="249"/>
      <c r="E6" s="541"/>
      <c r="F6" s="544"/>
      <c r="G6" s="547"/>
      <c r="H6" s="527"/>
      <c r="I6" s="128"/>
      <c r="J6" s="128"/>
    </row>
    <row r="7" spans="1:12">
      <c r="A7" s="547"/>
      <c r="B7" s="547"/>
      <c r="C7" s="250" t="s">
        <v>41</v>
      </c>
      <c r="D7" s="250" t="s">
        <v>17</v>
      </c>
      <c r="E7" s="541"/>
      <c r="F7" s="544"/>
      <c r="G7" s="547"/>
      <c r="H7" s="527"/>
      <c r="I7" s="128"/>
      <c r="J7" s="128"/>
    </row>
    <row r="8" spans="1:12">
      <c r="A8" s="547"/>
      <c r="B8" s="547"/>
      <c r="C8" s="250" t="s">
        <v>143</v>
      </c>
      <c r="D8" s="250" t="s">
        <v>143</v>
      </c>
      <c r="E8" s="541"/>
      <c r="F8" s="544"/>
      <c r="G8" s="547"/>
      <c r="H8" s="527"/>
      <c r="I8" s="128"/>
      <c r="J8" s="128"/>
    </row>
    <row r="9" spans="1:12">
      <c r="A9" s="548"/>
      <c r="B9" s="548"/>
      <c r="C9" s="251"/>
      <c r="D9" s="251"/>
      <c r="E9" s="542"/>
      <c r="F9" s="545"/>
      <c r="G9" s="548"/>
      <c r="H9" s="527"/>
      <c r="I9" s="128"/>
      <c r="J9" s="128"/>
    </row>
    <row r="10" spans="1:12">
      <c r="A10" s="252"/>
      <c r="B10" s="252"/>
      <c r="C10" s="252"/>
      <c r="D10" s="252">
        <v>30249799.809999999</v>
      </c>
      <c r="E10" s="253" t="s">
        <v>21</v>
      </c>
      <c r="F10" s="254"/>
      <c r="G10" s="495">
        <v>35428855.609999999</v>
      </c>
      <c r="H10" s="272"/>
      <c r="I10" s="128"/>
      <c r="J10" s="179"/>
    </row>
    <row r="11" spans="1:12">
      <c r="A11" s="255"/>
      <c r="B11" s="255"/>
      <c r="C11" s="255"/>
      <c r="D11" s="255"/>
      <c r="E11" s="253" t="s">
        <v>147</v>
      </c>
      <c r="F11" s="496"/>
      <c r="G11" s="255"/>
      <c r="H11" s="261"/>
      <c r="I11" s="128"/>
      <c r="J11" s="128"/>
    </row>
    <row r="12" spans="1:12">
      <c r="A12" s="255">
        <v>866000</v>
      </c>
      <c r="B12" s="255"/>
      <c r="C12" s="255">
        <f>SUM(A12:B12)</f>
        <v>866000</v>
      </c>
      <c r="D12" s="463">
        <v>762765.48</v>
      </c>
      <c r="E12" s="39" t="s">
        <v>22</v>
      </c>
      <c r="F12" s="259">
        <v>41100000</v>
      </c>
      <c r="G12" s="255">
        <v>43092.75</v>
      </c>
      <c r="H12" s="261"/>
      <c r="I12" s="128"/>
      <c r="J12" s="128"/>
    </row>
    <row r="13" spans="1:12">
      <c r="A13" s="255">
        <v>308900</v>
      </c>
      <c r="B13" s="255"/>
      <c r="C13" s="255">
        <f t="shared" ref="C13:C20" si="0">SUM(A13:B13)</f>
        <v>308900</v>
      </c>
      <c r="D13" s="463">
        <f>90733+4073+13088+5373+10968+2140</f>
        <v>126375</v>
      </c>
      <c r="E13" s="39" t="s">
        <v>23</v>
      </c>
      <c r="F13" s="259">
        <v>41200000</v>
      </c>
      <c r="G13" s="255">
        <f>500+590+450+600</f>
        <v>2140</v>
      </c>
      <c r="H13" s="261"/>
      <c r="I13" s="128"/>
      <c r="J13" s="128"/>
    </row>
    <row r="14" spans="1:12">
      <c r="A14" s="255">
        <v>150000</v>
      </c>
      <c r="B14" s="255"/>
      <c r="C14" s="255">
        <f t="shared" si="0"/>
        <v>150000</v>
      </c>
      <c r="D14" s="497">
        <f>76213.14+6535.14+132743.72</f>
        <v>215492</v>
      </c>
      <c r="E14" s="39" t="s">
        <v>24</v>
      </c>
      <c r="F14" s="259">
        <v>41300000</v>
      </c>
      <c r="G14" s="255">
        <v>132743.72</v>
      </c>
      <c r="H14" s="261"/>
      <c r="I14" s="128"/>
      <c r="J14" s="128"/>
    </row>
    <row r="15" spans="1:12">
      <c r="A15" s="255">
        <v>500000</v>
      </c>
      <c r="B15" s="255"/>
      <c r="C15" s="255">
        <f t="shared" si="0"/>
        <v>500000</v>
      </c>
      <c r="D15" s="463">
        <f>299795+51095+60825+45305+45995+54420</f>
        <v>557435</v>
      </c>
      <c r="E15" s="39" t="s">
        <v>25</v>
      </c>
      <c r="F15" s="259">
        <v>41400000</v>
      </c>
      <c r="G15" s="255">
        <v>54420</v>
      </c>
      <c r="H15" s="261"/>
      <c r="I15" s="128"/>
      <c r="J15" s="128"/>
    </row>
    <row r="16" spans="1:12">
      <c r="A16" s="255">
        <v>190000</v>
      </c>
      <c r="B16" s="255"/>
      <c r="C16" s="255">
        <f t="shared" si="0"/>
        <v>190000</v>
      </c>
      <c r="D16" s="463">
        <f>70130+8990+700+24460+19620+11820</f>
        <v>135720</v>
      </c>
      <c r="E16" s="39" t="s">
        <v>26</v>
      </c>
      <c r="F16" s="259">
        <v>41500000</v>
      </c>
      <c r="G16" s="255">
        <v>11820</v>
      </c>
      <c r="H16" s="261"/>
      <c r="I16" s="128"/>
      <c r="J16" s="128"/>
    </row>
    <row r="17" spans="1:15">
      <c r="A17" s="255">
        <v>100</v>
      </c>
      <c r="B17" s="255"/>
      <c r="C17" s="255">
        <f t="shared" si="0"/>
        <v>100</v>
      </c>
      <c r="D17" s="463">
        <v>0</v>
      </c>
      <c r="E17" s="39" t="s">
        <v>27</v>
      </c>
      <c r="F17" s="259">
        <v>41600000</v>
      </c>
      <c r="G17" s="255">
        <v>0</v>
      </c>
      <c r="H17" s="261"/>
      <c r="I17" s="128"/>
      <c r="J17" s="128"/>
    </row>
    <row r="18" spans="1:15">
      <c r="A18" s="255">
        <v>19435000</v>
      </c>
      <c r="B18" s="255"/>
      <c r="C18" s="255">
        <f t="shared" si="0"/>
        <v>19435000</v>
      </c>
      <c r="D18" s="463">
        <f>12320603.01+1989953.46+897015.05+2844958.77+1002263.4+3015232.5</f>
        <v>22070026.189999998</v>
      </c>
      <c r="E18" s="39" t="s">
        <v>28</v>
      </c>
      <c r="F18" s="259">
        <v>42100000</v>
      </c>
      <c r="G18" s="255">
        <v>3015232.5</v>
      </c>
      <c r="H18" s="261"/>
      <c r="I18" s="128"/>
      <c r="J18" s="128"/>
    </row>
    <row r="19" spans="1:15">
      <c r="A19" s="255">
        <v>30000000</v>
      </c>
      <c r="B19" s="255"/>
      <c r="C19" s="255">
        <f t="shared" si="0"/>
        <v>30000000</v>
      </c>
      <c r="D19" s="463">
        <f>22506839+4163712+64037+276650</f>
        <v>27011238</v>
      </c>
      <c r="E19" s="39" t="s">
        <v>29</v>
      </c>
      <c r="F19" s="259">
        <v>43100000</v>
      </c>
      <c r="G19" s="255">
        <v>276650</v>
      </c>
      <c r="H19" s="261"/>
      <c r="I19" s="128"/>
      <c r="J19" s="128"/>
    </row>
    <row r="20" spans="1:15">
      <c r="A20" s="255"/>
      <c r="B20" s="255"/>
      <c r="C20" s="255">
        <f t="shared" si="0"/>
        <v>0</v>
      </c>
      <c r="D20" s="255">
        <f>1559462.76+1854048+7524+203478-78776.41</f>
        <v>3545736.3499999996</v>
      </c>
      <c r="E20" s="39" t="s">
        <v>136</v>
      </c>
      <c r="F20" s="259">
        <v>44100000</v>
      </c>
      <c r="G20" s="255">
        <v>-78776.41</v>
      </c>
      <c r="H20" s="261"/>
      <c r="I20" s="128"/>
      <c r="J20" s="128"/>
    </row>
    <row r="21" spans="1:15" ht="24" thickBot="1">
      <c r="A21" s="257">
        <f>SUM(A10:A20)</f>
        <v>51450000</v>
      </c>
      <c r="B21" s="257"/>
      <c r="C21" s="257">
        <f>SUM(C12:C20)</f>
        <v>51450000</v>
      </c>
      <c r="D21" s="257">
        <f>SUM(D12:D20)</f>
        <v>54424788.020000003</v>
      </c>
      <c r="E21" s="39"/>
      <c r="F21" s="259"/>
      <c r="G21" s="257">
        <f>SUM(G12:G20)</f>
        <v>3457322.56</v>
      </c>
      <c r="H21" s="261"/>
      <c r="I21" s="123"/>
      <c r="J21" s="123"/>
    </row>
    <row r="22" spans="1:15" ht="24" thickTop="1">
      <c r="A22" s="39"/>
      <c r="B22" s="39"/>
      <c r="C22" s="39"/>
      <c r="D22" s="464">
        <f>723548.48+21129.95+20766.25+42053.52+20417.03+24718.55+22018.85+119940.61+587323</f>
        <v>1581916.24</v>
      </c>
      <c r="E22" s="39" t="s">
        <v>89</v>
      </c>
      <c r="F22" s="259">
        <v>21040000</v>
      </c>
      <c r="G22" s="258">
        <f>119940.61+587323</f>
        <v>707263.61</v>
      </c>
      <c r="H22" s="261"/>
      <c r="I22" s="128"/>
      <c r="J22" s="128"/>
    </row>
    <row r="23" spans="1:15">
      <c r="A23" s="39"/>
      <c r="B23" s="39"/>
      <c r="C23" s="39"/>
      <c r="D23" s="463">
        <f>15755.75+1131.45+1475.35+1889.55+8429.35+8566.15+3881.7+5216.45</f>
        <v>46345.749999999993</v>
      </c>
      <c r="E23" s="39" t="s">
        <v>180</v>
      </c>
      <c r="F23" s="259">
        <v>11043002</v>
      </c>
      <c r="G23" s="255">
        <f>5125.25+91.2</f>
        <v>5216.45</v>
      </c>
      <c r="H23" s="261"/>
      <c r="I23" s="123"/>
      <c r="J23" s="128"/>
    </row>
    <row r="24" spans="1:15">
      <c r="A24" s="39"/>
      <c r="B24" s="39"/>
      <c r="C24" s="39"/>
      <c r="D24" s="463">
        <f>229920+43430+80600+237400+150140+186200+57420+40020</f>
        <v>1025130</v>
      </c>
      <c r="E24" s="39" t="s">
        <v>332</v>
      </c>
      <c r="F24" s="259">
        <v>11041000</v>
      </c>
      <c r="G24" s="255">
        <f>25200+4100+10720</f>
        <v>40020</v>
      </c>
      <c r="H24" s="261"/>
      <c r="I24" s="287"/>
      <c r="J24" s="136"/>
      <c r="K24" s="136"/>
      <c r="L24" s="312"/>
      <c r="M24" s="17"/>
      <c r="O24" s="17"/>
    </row>
    <row r="25" spans="1:15">
      <c r="A25" s="39"/>
      <c r="B25" s="39"/>
      <c r="C25" s="39"/>
      <c r="D25" s="463">
        <f>31570.57+1313870.41</f>
        <v>1345440.98</v>
      </c>
      <c r="E25" s="39" t="s">
        <v>9</v>
      </c>
      <c r="F25" s="259">
        <v>31000000</v>
      </c>
      <c r="G25" s="255">
        <f>4946+1276215.2+32709.21</f>
        <v>1313870.4099999999</v>
      </c>
      <c r="H25" s="261"/>
      <c r="I25" s="123"/>
      <c r="J25" s="136"/>
      <c r="K25" s="136"/>
      <c r="L25" s="312"/>
      <c r="M25" s="17"/>
      <c r="O25" s="17"/>
    </row>
    <row r="26" spans="1:15">
      <c r="A26" s="39"/>
      <c r="B26" s="39"/>
      <c r="C26" s="39"/>
      <c r="D26" s="463">
        <v>4145.1899999999996</v>
      </c>
      <c r="E26" s="39" t="s">
        <v>10</v>
      </c>
      <c r="F26" s="259">
        <v>32000000</v>
      </c>
      <c r="G26" s="255">
        <v>0</v>
      </c>
      <c r="H26" s="261"/>
      <c r="I26" s="123"/>
      <c r="J26" s="136"/>
      <c r="K26" s="136"/>
      <c r="L26" s="312"/>
      <c r="M26" s="17"/>
      <c r="O26" s="17"/>
    </row>
    <row r="27" spans="1:15">
      <c r="A27" s="39"/>
      <c r="B27" s="39"/>
      <c r="C27" s="39"/>
      <c r="D27" s="463">
        <f>108439.5+18480</f>
        <v>126919.5</v>
      </c>
      <c r="E27" s="60" t="s">
        <v>187</v>
      </c>
      <c r="F27" s="259">
        <v>29010000</v>
      </c>
      <c r="G27" s="255">
        <v>0</v>
      </c>
      <c r="H27" s="261"/>
      <c r="I27" s="123"/>
      <c r="J27" s="123"/>
    </row>
    <row r="28" spans="1:15">
      <c r="A28" s="39"/>
      <c r="B28" s="39"/>
      <c r="C28" s="39"/>
      <c r="D28" s="255">
        <f>163291.5+18480</f>
        <v>181771.5</v>
      </c>
      <c r="E28" s="39" t="s">
        <v>189</v>
      </c>
      <c r="F28" s="259">
        <v>19040000</v>
      </c>
      <c r="G28" s="255">
        <v>0</v>
      </c>
      <c r="H28" s="261"/>
      <c r="I28" s="123"/>
      <c r="J28" s="136"/>
      <c r="K28" s="136"/>
      <c r="L28" s="312"/>
      <c r="M28" s="17"/>
      <c r="O28" s="17"/>
    </row>
    <row r="29" spans="1:15">
      <c r="A29" s="39"/>
      <c r="B29" s="39"/>
      <c r="C29" s="39"/>
      <c r="D29" s="255">
        <f>66633+592323</f>
        <v>658956</v>
      </c>
      <c r="E29" s="39" t="s">
        <v>420</v>
      </c>
      <c r="F29" s="259">
        <v>21040016</v>
      </c>
      <c r="G29" s="255">
        <v>0</v>
      </c>
      <c r="H29" s="261"/>
      <c r="I29" s="123"/>
      <c r="J29" s="136"/>
      <c r="K29" s="136"/>
      <c r="L29" s="312"/>
      <c r="M29" s="17"/>
      <c r="O29" s="17"/>
    </row>
    <row r="30" spans="1:15">
      <c r="A30" s="39"/>
      <c r="B30" s="39"/>
      <c r="C30" s="39"/>
      <c r="D30" s="463">
        <v>1777852</v>
      </c>
      <c r="E30" s="60" t="s">
        <v>351</v>
      </c>
      <c r="F30" s="259">
        <v>11042000</v>
      </c>
      <c r="G30" s="255">
        <v>0</v>
      </c>
      <c r="H30" s="261"/>
      <c r="I30" s="123"/>
      <c r="J30" s="123"/>
    </row>
    <row r="31" spans="1:15">
      <c r="A31" s="39"/>
      <c r="B31" s="39"/>
      <c r="C31" s="39"/>
      <c r="D31" s="463">
        <v>3629714.08</v>
      </c>
      <c r="E31" s="60" t="s">
        <v>433</v>
      </c>
      <c r="F31" s="259">
        <v>21010000</v>
      </c>
      <c r="G31" s="255">
        <f>141500+3488214.08</f>
        <v>3629714.08</v>
      </c>
      <c r="H31" s="261"/>
      <c r="I31" s="123"/>
      <c r="J31" s="123"/>
    </row>
    <row r="32" spans="1:15">
      <c r="A32" s="39"/>
      <c r="B32" s="39"/>
      <c r="C32" s="39"/>
      <c r="D32" s="466">
        <f>SUM(D22:D31)</f>
        <v>10378191.24</v>
      </c>
      <c r="E32" s="39"/>
      <c r="F32" s="259"/>
      <c r="G32" s="466">
        <f>SUM(G22:G31)</f>
        <v>5696084.5499999998</v>
      </c>
      <c r="H32" s="261"/>
      <c r="I32" s="128"/>
      <c r="J32" s="128"/>
    </row>
    <row r="33" spans="1:17" ht="24" thickBot="1">
      <c r="A33" s="39"/>
      <c r="B33" s="39"/>
      <c r="C33" s="39"/>
      <c r="D33" s="257">
        <f>D21+D32</f>
        <v>64802979.260000005</v>
      </c>
      <c r="E33" s="260" t="s">
        <v>30</v>
      </c>
      <c r="F33" s="280"/>
      <c r="G33" s="257">
        <f>G21+G32</f>
        <v>9153407.1099999994</v>
      </c>
      <c r="H33" s="261"/>
      <c r="I33" s="128"/>
      <c r="J33" s="123"/>
    </row>
    <row r="34" spans="1:17" ht="24" thickTop="1">
      <c r="A34" s="39"/>
      <c r="B34" s="39"/>
      <c r="C34" s="39"/>
      <c r="D34" s="261"/>
      <c r="E34" s="262"/>
      <c r="F34" s="263"/>
      <c r="G34" s="261"/>
      <c r="H34" s="261"/>
      <c r="I34" s="180"/>
      <c r="J34" s="123"/>
      <c r="K34" s="17"/>
    </row>
    <row r="35" spans="1:17" ht="23.25" customHeight="1">
      <c r="A35" s="301"/>
      <c r="B35" s="301"/>
      <c r="C35" s="301"/>
      <c r="D35" s="302"/>
      <c r="E35" s="300"/>
      <c r="F35" s="303"/>
      <c r="G35" s="302"/>
      <c r="H35" s="261"/>
      <c r="I35" s="180"/>
      <c r="J35" s="123"/>
      <c r="K35" s="17"/>
    </row>
    <row r="36" spans="1:17">
      <c r="A36" s="549" t="s">
        <v>16</v>
      </c>
      <c r="B36" s="550"/>
      <c r="C36" s="550"/>
      <c r="D36" s="551"/>
      <c r="E36" s="541" t="s">
        <v>18</v>
      </c>
      <c r="F36" s="552" t="s">
        <v>1</v>
      </c>
      <c r="G36" s="553" t="s">
        <v>146</v>
      </c>
      <c r="H36" s="526"/>
      <c r="I36" s="180"/>
      <c r="J36" s="123"/>
      <c r="K36" s="17"/>
    </row>
    <row r="37" spans="1:17" ht="22.5" customHeight="1">
      <c r="A37" s="546" t="s">
        <v>144</v>
      </c>
      <c r="B37" s="546" t="s">
        <v>145</v>
      </c>
      <c r="C37" s="249"/>
      <c r="D37" s="249"/>
      <c r="E37" s="541"/>
      <c r="F37" s="544"/>
      <c r="G37" s="547"/>
      <c r="H37" s="527"/>
      <c r="I37" s="180"/>
      <c r="J37" s="123"/>
      <c r="K37" s="17"/>
    </row>
    <row r="38" spans="1:17" ht="21" customHeight="1">
      <c r="A38" s="547"/>
      <c r="B38" s="547"/>
      <c r="C38" s="250" t="s">
        <v>41</v>
      </c>
      <c r="D38" s="250" t="s">
        <v>17</v>
      </c>
      <c r="E38" s="541"/>
      <c r="F38" s="544"/>
      <c r="G38" s="547"/>
      <c r="H38" s="527"/>
      <c r="I38" s="180"/>
      <c r="J38" s="123"/>
      <c r="K38" s="17"/>
    </row>
    <row r="39" spans="1:17">
      <c r="A39" s="547"/>
      <c r="B39" s="547"/>
      <c r="C39" s="250" t="s">
        <v>143</v>
      </c>
      <c r="D39" s="250" t="s">
        <v>143</v>
      </c>
      <c r="E39" s="541"/>
      <c r="F39" s="544"/>
      <c r="G39" s="547"/>
      <c r="H39" s="527"/>
      <c r="I39" s="180"/>
      <c r="J39" s="123"/>
      <c r="K39" s="17"/>
      <c r="L39" s="17"/>
    </row>
    <row r="40" spans="1:17" ht="19.5" customHeight="1">
      <c r="A40" s="548"/>
      <c r="B40" s="548"/>
      <c r="C40" s="251"/>
      <c r="D40" s="251"/>
      <c r="E40" s="542"/>
      <c r="F40" s="545"/>
      <c r="G40" s="548"/>
      <c r="H40" s="527"/>
      <c r="I40" s="180" t="s">
        <v>565</v>
      </c>
      <c r="J40" s="123"/>
      <c r="K40" s="17"/>
      <c r="L40" s="17"/>
    </row>
    <row r="41" spans="1:17" ht="21" customHeight="1">
      <c r="A41" s="252"/>
      <c r="B41" s="252"/>
      <c r="C41" s="252"/>
      <c r="D41" s="252"/>
      <c r="E41" s="253" t="s">
        <v>13</v>
      </c>
      <c r="F41" s="254"/>
      <c r="G41" s="252"/>
      <c r="H41" s="261"/>
      <c r="I41" s="128" t="s">
        <v>564</v>
      </c>
      <c r="J41" s="123" t="s">
        <v>563</v>
      </c>
      <c r="K41" s="17" t="s">
        <v>41</v>
      </c>
      <c r="L41" s="17"/>
    </row>
    <row r="42" spans="1:17">
      <c r="A42" s="255">
        <f>14149200-30000+15000+10000+10000-17600+17600</f>
        <v>14154200</v>
      </c>
      <c r="B42" s="255"/>
      <c r="C42" s="255">
        <f>SUM(A42:B42)</f>
        <v>14154200</v>
      </c>
      <c r="D42" s="463">
        <f>5514614.75+1907065+939244+938044+28531+980419+2205136.48-120+1481984.18</f>
        <v>13994918.41</v>
      </c>
      <c r="E42" s="39" t="s">
        <v>4</v>
      </c>
      <c r="F42" s="259">
        <v>51100000</v>
      </c>
      <c r="G42" s="255">
        <f>56568.98+25200+1276215.2+124000</f>
        <v>1481984.18</v>
      </c>
      <c r="H42" s="261"/>
      <c r="I42" s="524">
        <v>13823049.66</v>
      </c>
      <c r="J42" s="524">
        <v>171868.75</v>
      </c>
      <c r="K42" s="524">
        <f>I42+J42</f>
        <v>13994918.41</v>
      </c>
      <c r="L42" s="136"/>
      <c r="M42" s="136"/>
      <c r="N42" s="136"/>
      <c r="O42" s="232"/>
    </row>
    <row r="43" spans="1:17">
      <c r="A43" s="255">
        <v>2624640</v>
      </c>
      <c r="B43" s="255"/>
      <c r="C43" s="255">
        <f>SUM(A43:B43)</f>
        <v>2624640</v>
      </c>
      <c r="D43" s="463">
        <f>1093600+218720+218720+218720+218720+218720+218720+218720</f>
        <v>2624640</v>
      </c>
      <c r="E43" s="39" t="s">
        <v>156</v>
      </c>
      <c r="F43" s="259">
        <v>52100000</v>
      </c>
      <c r="G43" s="255">
        <v>218720</v>
      </c>
      <c r="H43" s="261"/>
      <c r="I43" s="524">
        <v>2624640</v>
      </c>
      <c r="J43" s="524"/>
      <c r="K43" s="524">
        <f t="shared" ref="K43:K51" si="1">I43+J43</f>
        <v>2624640</v>
      </c>
      <c r="L43" s="136"/>
      <c r="M43" s="136"/>
      <c r="N43" s="136"/>
      <c r="O43" s="128"/>
    </row>
    <row r="44" spans="1:17">
      <c r="A44" s="255">
        <f>13809510-10000-27000-25000+27000-50000-70000-200000-60000-10000-30000-8600+17500-10000</f>
        <v>13353410</v>
      </c>
      <c r="B44" s="255"/>
      <c r="C44" s="255">
        <f>A44</f>
        <v>13353410</v>
      </c>
      <c r="D44" s="463">
        <f>4789409.39+967330+992434+1056883+1049470+1040620+1076053+1093344</f>
        <v>12065543.390000001</v>
      </c>
      <c r="E44" s="39" t="s">
        <v>179</v>
      </c>
      <c r="F44" s="259">
        <v>52200000</v>
      </c>
      <c r="G44" s="255">
        <f>830764+38510+206570+17500</f>
        <v>1093344</v>
      </c>
      <c r="H44" s="261"/>
      <c r="I44" s="524">
        <f>4089887+227340+1201740+1479100+318840+1229616+570381+2317284.55+318840</f>
        <v>11753028.550000001</v>
      </c>
      <c r="J44" s="524">
        <v>312514.84000000003</v>
      </c>
      <c r="K44" s="524">
        <f t="shared" si="1"/>
        <v>12065543.390000001</v>
      </c>
      <c r="L44" s="136"/>
      <c r="M44" s="136"/>
      <c r="N44" s="136"/>
      <c r="O44" s="123"/>
    </row>
    <row r="45" spans="1:17">
      <c r="A45" s="255">
        <f>588100+25000+10000</f>
        <v>623100</v>
      </c>
      <c r="B45" s="255"/>
      <c r="C45" s="255">
        <f t="shared" ref="C45:C51" si="2">A45+B45</f>
        <v>623100</v>
      </c>
      <c r="D45" s="463">
        <f>98301.75+39424+18260+29140+13500+11150+15900+18750</f>
        <v>244425.75</v>
      </c>
      <c r="E45" s="39" t="s">
        <v>124</v>
      </c>
      <c r="F45" s="259">
        <v>53100000</v>
      </c>
      <c r="G45" s="255">
        <v>18750</v>
      </c>
      <c r="H45" s="261"/>
      <c r="I45" s="524">
        <f>102070+38260+74560+13671.75</f>
        <v>228561.75</v>
      </c>
      <c r="J45" s="524">
        <v>15864</v>
      </c>
      <c r="K45" s="524">
        <f t="shared" si="1"/>
        <v>244425.75</v>
      </c>
      <c r="L45" s="136"/>
      <c r="M45" s="136"/>
      <c r="N45" s="136"/>
      <c r="O45" s="123"/>
    </row>
    <row r="46" spans="1:17">
      <c r="A46" s="255">
        <v>8771660</v>
      </c>
      <c r="B46" s="255"/>
      <c r="C46" s="255">
        <f t="shared" si="2"/>
        <v>8771660</v>
      </c>
      <c r="D46" s="463">
        <f>2086943.54+651946.68+436016.59+572395.13+479282+1063321.76+443775+477044.23</f>
        <v>6210724.9299999997</v>
      </c>
      <c r="E46" s="39" t="s">
        <v>6</v>
      </c>
      <c r="F46" s="259">
        <v>53200000</v>
      </c>
      <c r="G46" s="255">
        <f>253780.23+4100+10720+208444</f>
        <v>477044.23</v>
      </c>
      <c r="H46" s="261"/>
      <c r="I46" s="524">
        <f>2528293.72+5000+227702+5320+553637.21+110800+2419175+288528+32269</f>
        <v>6170724.9299999997</v>
      </c>
      <c r="J46" s="524">
        <v>40000</v>
      </c>
      <c r="K46" s="524">
        <f t="shared" si="1"/>
        <v>6210724.9299999997</v>
      </c>
      <c r="L46" s="136"/>
      <c r="M46" s="136"/>
      <c r="N46" s="136"/>
      <c r="O46" s="123"/>
      <c r="P46" s="17"/>
      <c r="Q46" s="23"/>
    </row>
    <row r="47" spans="1:17">
      <c r="A47" s="255">
        <v>4651700</v>
      </c>
      <c r="B47" s="255"/>
      <c r="C47" s="255">
        <f t="shared" si="2"/>
        <v>4651700</v>
      </c>
      <c r="D47" s="463">
        <f>697539.93+259686.86+490913.99+560687.65+210972.84+444063.54+346250.6+584935.5</f>
        <v>3595050.91</v>
      </c>
      <c r="E47" s="39" t="s">
        <v>7</v>
      </c>
      <c r="F47" s="259">
        <v>53300000</v>
      </c>
      <c r="G47" s="255">
        <f>298165.42+286770.08</f>
        <v>584935.5</v>
      </c>
      <c r="H47" s="261"/>
      <c r="I47" s="524">
        <f>270706.28+58838.04+110081.6+75056.39+56445+37775+1372716.82+141310+1408530.78+63591</f>
        <v>3595050.91</v>
      </c>
      <c r="J47" s="524"/>
      <c r="K47" s="524">
        <f t="shared" si="1"/>
        <v>3595050.91</v>
      </c>
      <c r="L47" s="136"/>
      <c r="M47" s="136"/>
      <c r="N47" s="136"/>
      <c r="O47" s="123"/>
    </row>
    <row r="48" spans="1:17">
      <c r="A48" s="255">
        <v>1416000</v>
      </c>
      <c r="B48" s="255"/>
      <c r="C48" s="255">
        <f t="shared" si="2"/>
        <v>1416000</v>
      </c>
      <c r="D48" s="463">
        <f>513710.02+100508.76+112854.62+104176.33+100201.19+101406.39+135426.3+128467.99</f>
        <v>1296751.5999999999</v>
      </c>
      <c r="E48" s="39" t="s">
        <v>8</v>
      </c>
      <c r="F48" s="264">
        <v>53400000</v>
      </c>
      <c r="G48" s="255">
        <v>128467.99</v>
      </c>
      <c r="H48" s="261"/>
      <c r="I48" s="524">
        <f>538174.35+668181.8+90395.45</f>
        <v>1296751.5999999999</v>
      </c>
      <c r="J48" s="524"/>
      <c r="K48" s="524">
        <f t="shared" si="1"/>
        <v>1296751.5999999999</v>
      </c>
      <c r="L48" s="136"/>
      <c r="M48" s="136"/>
      <c r="N48" s="136"/>
      <c r="O48" s="123"/>
    </row>
    <row r="49" spans="1:15">
      <c r="A49" s="255">
        <f>2494000-5000</f>
        <v>2489000</v>
      </c>
      <c r="B49" s="255"/>
      <c r="C49" s="255">
        <f t="shared" si="2"/>
        <v>2489000</v>
      </c>
      <c r="D49" s="463">
        <f>565469.7+507000+70000+280000+1003000</f>
        <v>2425469.7000000002</v>
      </c>
      <c r="E49" s="39" t="s">
        <v>29</v>
      </c>
      <c r="F49" s="264">
        <v>56100000</v>
      </c>
      <c r="G49" s="255">
        <v>0</v>
      </c>
      <c r="H49" s="261"/>
      <c r="I49" s="524">
        <f>280000+70000+54469.7+2021000</f>
        <v>2425469.7000000002</v>
      </c>
      <c r="J49" s="524"/>
      <c r="K49" s="524">
        <f t="shared" si="1"/>
        <v>2425469.7000000002</v>
      </c>
      <c r="L49" s="136"/>
      <c r="M49" s="136"/>
      <c r="N49" s="136"/>
      <c r="O49" s="123"/>
    </row>
    <row r="50" spans="1:15">
      <c r="A50" s="255">
        <v>366290</v>
      </c>
      <c r="B50" s="255"/>
      <c r="C50" s="255">
        <f t="shared" si="2"/>
        <v>366290</v>
      </c>
      <c r="D50" s="255">
        <f>64400+61390+39000+112900+12000</f>
        <v>289690</v>
      </c>
      <c r="E50" s="39" t="s">
        <v>31</v>
      </c>
      <c r="F50" s="264">
        <v>54100000</v>
      </c>
      <c r="G50" s="255">
        <v>0</v>
      </c>
      <c r="H50" s="261"/>
      <c r="I50" s="524">
        <f>76500+10000+5000+85290+112900</f>
        <v>289690</v>
      </c>
      <c r="J50" s="524"/>
      <c r="K50" s="524">
        <f t="shared" si="1"/>
        <v>289690</v>
      </c>
      <c r="L50" s="136"/>
      <c r="M50" s="136"/>
      <c r="N50" s="136"/>
      <c r="O50" s="123"/>
    </row>
    <row r="51" spans="1:15">
      <c r="A51" s="255">
        <v>3000000</v>
      </c>
      <c r="B51" s="255"/>
      <c r="C51" s="255">
        <f t="shared" si="2"/>
        <v>3000000</v>
      </c>
      <c r="D51" s="255">
        <f>1136352+1854048+2993000</f>
        <v>5983400</v>
      </c>
      <c r="E51" s="39" t="s">
        <v>32</v>
      </c>
      <c r="F51" s="264">
        <v>54200000</v>
      </c>
      <c r="G51" s="265">
        <v>2993000</v>
      </c>
      <c r="H51" s="261"/>
      <c r="I51" s="524">
        <v>2993000</v>
      </c>
      <c r="J51" s="524">
        <v>2990400</v>
      </c>
      <c r="K51" s="524">
        <f t="shared" si="1"/>
        <v>5983400</v>
      </c>
      <c r="L51" s="136"/>
      <c r="M51" s="136"/>
      <c r="N51" s="136"/>
      <c r="O51" s="123"/>
    </row>
    <row r="52" spans="1:15" ht="23.25" customHeight="1" thickBot="1">
      <c r="A52" s="257">
        <f>SUM(A42:A51)</f>
        <v>51450000</v>
      </c>
      <c r="B52" s="257"/>
      <c r="C52" s="257">
        <f>SUM(C42:C51)</f>
        <v>51450000</v>
      </c>
      <c r="D52" s="257">
        <f>SUM(D42:D51)</f>
        <v>48730614.690000005</v>
      </c>
      <c r="E52" s="39"/>
      <c r="F52" s="259"/>
      <c r="G52" s="468">
        <f>SUM(G42:G51)</f>
        <v>6996245.9000000004</v>
      </c>
      <c r="H52" s="261"/>
      <c r="I52" s="524">
        <f>SUM(I42:I51)</f>
        <v>45199967.100000001</v>
      </c>
      <c r="J52" s="524">
        <f>SUM(J42:J51)</f>
        <v>3530647.59</v>
      </c>
      <c r="K52" s="524">
        <f>SUM(I52:J52)</f>
        <v>48730614.689999998</v>
      </c>
      <c r="L52" s="136"/>
      <c r="M52" s="136"/>
      <c r="N52" s="136"/>
      <c r="O52" s="123"/>
    </row>
    <row r="53" spans="1:15" ht="23.25" customHeight="1" thickTop="1">
      <c r="A53" s="39"/>
      <c r="B53" s="39"/>
      <c r="C53" s="39"/>
      <c r="D53" s="464">
        <f>438373.96+39660.42+19389.8+19281.1+164065.02+36300.18+660074.8+31019.15</f>
        <v>1408164.43</v>
      </c>
      <c r="E53" s="39" t="s">
        <v>88</v>
      </c>
      <c r="F53" s="259">
        <v>21040000</v>
      </c>
      <c r="G53" s="266">
        <f>10722.75+20288+8.4</f>
        <v>31019.15</v>
      </c>
      <c r="H53" s="261"/>
      <c r="I53" s="524"/>
      <c r="J53" s="524"/>
      <c r="K53" s="524"/>
      <c r="L53" s="136"/>
      <c r="M53" s="136"/>
      <c r="N53" s="136"/>
      <c r="O53" s="123"/>
    </row>
    <row r="54" spans="1:15">
      <c r="A54" s="39"/>
      <c r="B54" s="39"/>
      <c r="C54" s="39"/>
      <c r="D54" s="463">
        <f>268720+90130+259636+193204+111900+41820+55620+4100</f>
        <v>1025130</v>
      </c>
      <c r="E54" s="267" t="s">
        <v>182</v>
      </c>
      <c r="F54" s="259">
        <v>11041000</v>
      </c>
      <c r="G54" s="255">
        <v>4100</v>
      </c>
      <c r="H54" s="261"/>
      <c r="I54" s="123"/>
      <c r="J54" s="123"/>
      <c r="K54" s="17"/>
      <c r="L54" s="17"/>
      <c r="O54" s="17"/>
    </row>
    <row r="55" spans="1:15" ht="22.5" customHeight="1">
      <c r="A55" s="261"/>
      <c r="B55" s="39"/>
      <c r="C55" s="39"/>
      <c r="D55" s="463">
        <f>3281088.99+32709.21</f>
        <v>3313798.2</v>
      </c>
      <c r="E55" s="267" t="s">
        <v>155</v>
      </c>
      <c r="F55" s="259">
        <v>21010000</v>
      </c>
      <c r="G55" s="256">
        <v>32709.21</v>
      </c>
      <c r="H55" s="528"/>
      <c r="I55" s="123"/>
      <c r="J55" s="123"/>
      <c r="K55" s="17"/>
      <c r="L55" s="17"/>
    </row>
    <row r="56" spans="1:15" ht="22.5" customHeight="1">
      <c r="A56" s="39"/>
      <c r="B56" s="39"/>
      <c r="C56" s="39"/>
      <c r="D56" s="463">
        <f>1119332.41+94.05+24.7+187.15+91.2</f>
        <v>1119729.5099999998</v>
      </c>
      <c r="E56" s="267" t="s">
        <v>9</v>
      </c>
      <c r="F56" s="259">
        <v>31000000</v>
      </c>
      <c r="G56" s="256">
        <v>91.2</v>
      </c>
      <c r="H56" s="528"/>
      <c r="I56" s="123"/>
      <c r="J56" s="123"/>
      <c r="K56" s="123"/>
      <c r="L56" s="123"/>
      <c r="M56" s="128"/>
    </row>
    <row r="57" spans="1:15" ht="22.5" customHeight="1">
      <c r="A57" s="39"/>
      <c r="B57" s="39"/>
      <c r="C57" s="39"/>
      <c r="D57" s="463">
        <v>2674.63</v>
      </c>
      <c r="E57" s="267" t="s">
        <v>10</v>
      </c>
      <c r="F57" s="259">
        <v>32000000</v>
      </c>
      <c r="G57" s="256">
        <v>0</v>
      </c>
      <c r="H57" s="528"/>
      <c r="I57" s="123"/>
      <c r="J57" s="123"/>
      <c r="K57" s="123"/>
      <c r="L57" s="123"/>
      <c r="M57" s="128"/>
    </row>
    <row r="58" spans="1:15" ht="22.5" customHeight="1">
      <c r="A58" s="39"/>
      <c r="B58" s="39"/>
      <c r="C58" s="39"/>
      <c r="D58" s="463">
        <f>108439.5+18480</f>
        <v>126919.5</v>
      </c>
      <c r="E58" s="267" t="s">
        <v>189</v>
      </c>
      <c r="F58" s="259">
        <v>19040000</v>
      </c>
      <c r="G58" s="256">
        <v>0</v>
      </c>
      <c r="H58" s="528"/>
      <c r="I58" s="123"/>
      <c r="J58" s="123"/>
      <c r="K58" s="123"/>
      <c r="L58" s="123"/>
      <c r="M58" s="128"/>
    </row>
    <row r="59" spans="1:15" ht="22.5" customHeight="1">
      <c r="A59" s="39"/>
      <c r="B59" s="39"/>
      <c r="C59" s="39"/>
      <c r="D59" s="463">
        <f>163291.5+18480</f>
        <v>181771.5</v>
      </c>
      <c r="E59" s="267" t="s">
        <v>187</v>
      </c>
      <c r="F59" s="259">
        <v>29010000</v>
      </c>
      <c r="G59" s="256">
        <v>0</v>
      </c>
      <c r="H59" s="528"/>
      <c r="I59" s="123"/>
      <c r="J59" s="123"/>
      <c r="K59" s="123"/>
      <c r="L59" s="123"/>
      <c r="M59" s="128"/>
    </row>
    <row r="60" spans="1:15" ht="22.5" customHeight="1">
      <c r="A60" s="39"/>
      <c r="B60" s="39"/>
      <c r="C60" s="39"/>
      <c r="D60" s="463">
        <v>349664.15</v>
      </c>
      <c r="E60" s="267" t="s">
        <v>414</v>
      </c>
      <c r="F60" s="259">
        <v>11032000</v>
      </c>
      <c r="G60" s="256">
        <v>0</v>
      </c>
      <c r="H60" s="528"/>
      <c r="I60" s="123"/>
      <c r="J60" s="123"/>
      <c r="K60" s="123"/>
      <c r="L60" s="123"/>
      <c r="M60" s="128"/>
    </row>
    <row r="61" spans="1:15" ht="22.5" customHeight="1">
      <c r="A61" s="39"/>
      <c r="B61" s="39"/>
      <c r="C61" s="39"/>
      <c r="D61" s="463">
        <v>1276215.2</v>
      </c>
      <c r="E61" s="267" t="s">
        <v>188</v>
      </c>
      <c r="F61" s="259">
        <v>22012002</v>
      </c>
      <c r="G61" s="256">
        <v>0</v>
      </c>
      <c r="H61" s="528"/>
      <c r="I61" s="123"/>
      <c r="J61" s="123"/>
      <c r="K61" s="123"/>
      <c r="L61" s="123"/>
      <c r="M61" s="128"/>
    </row>
    <row r="62" spans="1:15" ht="22.5" customHeight="1">
      <c r="A62" s="39"/>
      <c r="B62" s="39"/>
      <c r="C62" s="39"/>
      <c r="D62" s="463">
        <f>21977.3+159.6+2.85</f>
        <v>22139.749999999996</v>
      </c>
      <c r="E62" s="267" t="s">
        <v>180</v>
      </c>
      <c r="F62" s="259">
        <v>11043002</v>
      </c>
      <c r="G62" s="256">
        <f>21977.3+159.6+2.85</f>
        <v>22139.749999999996</v>
      </c>
      <c r="H62" s="528"/>
      <c r="I62" s="123"/>
      <c r="J62" s="123"/>
      <c r="K62" s="123"/>
      <c r="L62" s="123"/>
      <c r="M62" s="128"/>
    </row>
    <row r="63" spans="1:15" ht="22.5" customHeight="1">
      <c r="A63" s="39"/>
      <c r="B63" s="39"/>
      <c r="C63" s="39"/>
      <c r="D63" s="463">
        <v>587323</v>
      </c>
      <c r="E63" s="39" t="s">
        <v>420</v>
      </c>
      <c r="F63" s="259">
        <v>21040016</v>
      </c>
      <c r="G63" s="256">
        <v>587323</v>
      </c>
      <c r="H63" s="528"/>
      <c r="I63" s="123"/>
      <c r="J63" s="123"/>
      <c r="K63" s="123"/>
      <c r="L63" s="123"/>
      <c r="M63" s="128"/>
    </row>
    <row r="64" spans="1:15" ht="24" customHeight="1">
      <c r="A64" s="39"/>
      <c r="B64" s="39"/>
      <c r="C64" s="39"/>
      <c r="D64" s="466">
        <f>SUM(D53:D62)</f>
        <v>8826206.8699999992</v>
      </c>
      <c r="E64" s="267"/>
      <c r="F64" s="259"/>
      <c r="G64" s="466">
        <f>SUM(G53:G63)</f>
        <v>677382.31</v>
      </c>
      <c r="H64" s="261"/>
      <c r="I64" s="123"/>
      <c r="J64" s="128"/>
      <c r="K64" s="123"/>
      <c r="L64" s="123"/>
      <c r="M64" s="128"/>
    </row>
    <row r="65" spans="1:13" ht="24" customHeight="1">
      <c r="A65" s="60"/>
      <c r="B65" s="60"/>
      <c r="C65" s="60"/>
      <c r="D65" s="466">
        <f>D52+D64</f>
        <v>57556821.560000002</v>
      </c>
      <c r="E65" s="251" t="s">
        <v>33</v>
      </c>
      <c r="F65" s="280"/>
      <c r="G65" s="466">
        <f>G52+G64</f>
        <v>7673628.2100000009</v>
      </c>
      <c r="H65" s="261"/>
      <c r="I65" s="123"/>
      <c r="J65" s="181"/>
      <c r="K65" s="123"/>
      <c r="L65" s="123"/>
      <c r="M65" s="128"/>
    </row>
    <row r="66" spans="1:13" ht="24" customHeight="1">
      <c r="A66" s="60"/>
      <c r="B66" s="60"/>
      <c r="C66" s="60"/>
      <c r="D66" s="261"/>
      <c r="E66" s="262"/>
      <c r="F66" s="502"/>
      <c r="G66" s="261"/>
      <c r="H66" s="261"/>
      <c r="I66" s="125"/>
      <c r="J66" s="181"/>
      <c r="K66" s="123"/>
      <c r="L66" s="123"/>
      <c r="M66" s="128"/>
    </row>
    <row r="67" spans="1:13" ht="24" customHeight="1">
      <c r="A67" s="60"/>
      <c r="B67" s="60"/>
      <c r="C67" s="60"/>
      <c r="D67" s="261"/>
      <c r="E67" s="262"/>
      <c r="F67" s="502"/>
      <c r="G67" s="261"/>
      <c r="H67" s="261"/>
      <c r="I67" s="125"/>
      <c r="J67" s="181"/>
      <c r="K67" s="123"/>
      <c r="L67" s="123"/>
      <c r="M67" s="128"/>
    </row>
    <row r="68" spans="1:13" ht="24" customHeight="1">
      <c r="A68" s="60"/>
      <c r="B68" s="60"/>
      <c r="C68" s="60"/>
      <c r="D68" s="261"/>
      <c r="E68" s="262"/>
      <c r="F68" s="502"/>
      <c r="G68" s="261"/>
      <c r="H68" s="261"/>
      <c r="I68" s="125"/>
      <c r="J68" s="181"/>
      <c r="K68" s="123"/>
      <c r="L68" s="123"/>
      <c r="M68" s="128"/>
    </row>
    <row r="69" spans="1:13" ht="24" customHeight="1">
      <c r="A69" s="60"/>
      <c r="B69" s="60"/>
      <c r="C69" s="60"/>
      <c r="D69" s="261"/>
      <c r="E69" s="262"/>
      <c r="F69" s="502"/>
      <c r="G69" s="261"/>
      <c r="H69" s="261"/>
      <c r="I69" s="125"/>
      <c r="J69" s="181"/>
      <c r="K69" s="123"/>
      <c r="L69" s="123"/>
      <c r="M69" s="128"/>
    </row>
    <row r="70" spans="1:13" ht="24" customHeight="1">
      <c r="A70" s="60"/>
      <c r="B70" s="60"/>
      <c r="C70" s="60"/>
      <c r="D70" s="302"/>
      <c r="E70" s="300"/>
      <c r="F70" s="503"/>
      <c r="G70" s="302"/>
      <c r="H70" s="261"/>
      <c r="I70" s="125"/>
      <c r="J70" s="181"/>
      <c r="K70" s="123"/>
      <c r="L70" s="123"/>
      <c r="M70" s="128"/>
    </row>
    <row r="71" spans="1:13" ht="21.75" customHeight="1">
      <c r="A71" s="60"/>
      <c r="B71" s="60"/>
      <c r="C71" s="60"/>
      <c r="D71" s="269">
        <f>D33-D65</f>
        <v>7246157.700000003</v>
      </c>
      <c r="E71" s="268" t="s">
        <v>34</v>
      </c>
      <c r="F71" s="267"/>
      <c r="G71" s="269">
        <f>G33-G65</f>
        <v>1479778.8999999985</v>
      </c>
      <c r="H71" s="272"/>
      <c r="I71" s="123"/>
      <c r="J71" s="128"/>
      <c r="K71" s="181"/>
      <c r="L71" s="181"/>
      <c r="M71" s="128"/>
    </row>
    <row r="72" spans="1:13" ht="21" customHeight="1">
      <c r="A72" s="60"/>
      <c r="B72" s="60"/>
      <c r="C72" s="60"/>
      <c r="D72" s="267"/>
      <c r="E72" s="268" t="s">
        <v>37</v>
      </c>
      <c r="F72" s="267"/>
      <c r="G72" s="267"/>
      <c r="H72" s="60"/>
      <c r="I72" s="123"/>
      <c r="J72" s="181"/>
      <c r="K72" s="181"/>
      <c r="L72" s="128"/>
      <c r="M72" s="128"/>
    </row>
    <row r="73" spans="1:13" ht="21.75" customHeight="1">
      <c r="A73" s="60"/>
      <c r="B73" s="60"/>
      <c r="C73" s="60"/>
      <c r="D73" s="270"/>
      <c r="E73" s="250" t="s">
        <v>35</v>
      </c>
      <c r="F73" s="267"/>
      <c r="G73" s="269"/>
      <c r="H73" s="272"/>
      <c r="I73" s="123"/>
      <c r="J73" s="123"/>
      <c r="K73" s="17"/>
    </row>
    <row r="74" spans="1:13" ht="21" customHeight="1" thickBot="1">
      <c r="A74" s="60"/>
      <c r="B74" s="60"/>
      <c r="C74" s="60"/>
      <c r="D74" s="467">
        <f>D10+D71</f>
        <v>37495957.510000005</v>
      </c>
      <c r="E74" s="251" t="s">
        <v>36</v>
      </c>
      <c r="F74" s="271"/>
      <c r="G74" s="467">
        <f>G10+G71</f>
        <v>36908634.509999998</v>
      </c>
      <c r="H74" s="272"/>
      <c r="I74" s="123"/>
      <c r="J74" s="123">
        <f>3577544.03+2322294.41+25732046.09+5151599.98+124000+1150</f>
        <v>36908634.510000005</v>
      </c>
      <c r="K74" s="17"/>
      <c r="L74" s="23"/>
    </row>
    <row r="75" spans="1:13" ht="21" customHeight="1" thickTop="1">
      <c r="A75" s="60"/>
      <c r="B75" s="60"/>
      <c r="C75" s="60"/>
      <c r="D75" s="272"/>
      <c r="E75" s="262"/>
      <c r="F75" s="60"/>
      <c r="G75" s="272"/>
      <c r="H75" s="272"/>
      <c r="I75" s="123"/>
      <c r="J75" s="123"/>
      <c r="K75" s="17"/>
      <c r="L75" s="23"/>
    </row>
    <row r="76" spans="1:13" ht="21" customHeight="1">
      <c r="A76" s="60"/>
      <c r="B76" s="60"/>
      <c r="C76" s="60"/>
      <c r="D76" s="272"/>
      <c r="E76" s="262"/>
      <c r="F76" s="60"/>
      <c r="G76" s="272"/>
      <c r="H76" s="272"/>
      <c r="I76" s="123"/>
      <c r="J76" s="123">
        <f>G74-J74</f>
        <v>0</v>
      </c>
      <c r="K76" s="17"/>
      <c r="L76" s="23"/>
      <c r="M76" s="17"/>
    </row>
    <row r="77" spans="1:13" ht="20.25" customHeight="1">
      <c r="A77" s="554" t="s">
        <v>52</v>
      </c>
      <c r="B77" s="554"/>
      <c r="C77" s="554"/>
      <c r="D77" s="555" t="s">
        <v>158</v>
      </c>
      <c r="E77" s="555"/>
      <c r="F77" s="556" t="s">
        <v>133</v>
      </c>
      <c r="G77" s="556"/>
      <c r="H77" s="263"/>
      <c r="I77" s="123"/>
      <c r="J77" s="123"/>
      <c r="K77" s="17" t="s">
        <v>141</v>
      </c>
    </row>
    <row r="78" spans="1:13" ht="21" customHeight="1">
      <c r="A78" s="554" t="s">
        <v>125</v>
      </c>
      <c r="B78" s="554"/>
      <c r="C78" s="554"/>
      <c r="D78" s="555" t="s">
        <v>50</v>
      </c>
      <c r="E78" s="555"/>
      <c r="F78" s="556" t="s">
        <v>51</v>
      </c>
      <c r="G78" s="556"/>
      <c r="H78" s="263"/>
      <c r="I78" s="123"/>
      <c r="J78" s="123"/>
      <c r="K78" s="17"/>
    </row>
    <row r="79" spans="1:13">
      <c r="A79" s="128"/>
      <c r="B79" s="128"/>
      <c r="C79" s="128"/>
      <c r="D79" s="128"/>
      <c r="E79" s="128"/>
      <c r="F79" s="128"/>
      <c r="G79" s="128"/>
      <c r="H79" s="128"/>
      <c r="K79" s="23"/>
    </row>
    <row r="80" spans="1:13">
      <c r="A80" s="128"/>
      <c r="B80" s="128"/>
      <c r="C80" s="128"/>
      <c r="D80" s="128"/>
      <c r="E80" s="128"/>
      <c r="F80" s="128"/>
      <c r="G80" s="128"/>
      <c r="H80" s="128"/>
    </row>
    <row r="81" spans="1:8">
      <c r="A81" s="128"/>
      <c r="B81" s="128"/>
      <c r="C81" s="128"/>
      <c r="D81" s="128"/>
      <c r="E81" s="128"/>
      <c r="F81" s="128"/>
      <c r="G81" s="128"/>
      <c r="H81" s="128"/>
    </row>
  </sheetData>
  <mergeCells count="22">
    <mergeCell ref="A77:C77"/>
    <mergeCell ref="D77:E77"/>
    <mergeCell ref="F77:G77"/>
    <mergeCell ref="A78:C78"/>
    <mergeCell ref="D78:E78"/>
    <mergeCell ref="F78:G78"/>
    <mergeCell ref="A36:D36"/>
    <mergeCell ref="E36:E40"/>
    <mergeCell ref="F36:F40"/>
    <mergeCell ref="G36:G40"/>
    <mergeCell ref="A37:A40"/>
    <mergeCell ref="B37:B40"/>
    <mergeCell ref="A1:G1"/>
    <mergeCell ref="A2:G2"/>
    <mergeCell ref="A3:G3"/>
    <mergeCell ref="F4:G4"/>
    <mergeCell ref="A5:D5"/>
    <mergeCell ref="E5:E9"/>
    <mergeCell ref="F5:F9"/>
    <mergeCell ref="G5:G9"/>
    <mergeCell ref="A6:A9"/>
    <mergeCell ref="B6:B9"/>
  </mergeCells>
  <pageMargins left="0.24" right="0.18" top="0.48" bottom="0.61" header="0.55000000000000004" footer="0.5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C18" sqref="C18"/>
    </sheetView>
  </sheetViews>
  <sheetFormatPr defaultRowHeight="23.25"/>
  <cols>
    <col min="1" max="1" width="3.85546875" style="1" customWidth="1"/>
    <col min="2" max="2" width="39" style="1" customWidth="1"/>
    <col min="3" max="3" width="15.42578125" style="1" customWidth="1"/>
    <col min="4" max="4" width="11.7109375" style="1" customWidth="1"/>
    <col min="5" max="5" width="20.5703125" style="1" customWidth="1"/>
    <col min="6" max="7" width="9.140625" style="1"/>
    <col min="8" max="8" width="21.28515625" style="1" customWidth="1"/>
    <col min="9" max="16384" width="9.140625" style="1"/>
  </cols>
  <sheetData>
    <row r="1" spans="1:5" ht="26.25">
      <c r="A1" s="557" t="s">
        <v>53</v>
      </c>
      <c r="B1" s="557"/>
      <c r="C1" s="557"/>
      <c r="D1" s="557"/>
      <c r="E1" s="557"/>
    </row>
    <row r="2" spans="1:5" ht="26.25">
      <c r="A2" s="557" t="s">
        <v>54</v>
      </c>
      <c r="B2" s="557"/>
      <c r="C2" s="557"/>
      <c r="D2" s="557"/>
      <c r="E2" s="557"/>
    </row>
    <row r="3" spans="1:5" ht="26.25">
      <c r="A3" s="557" t="s">
        <v>444</v>
      </c>
      <c r="B3" s="557"/>
      <c r="C3" s="557"/>
      <c r="D3" s="557"/>
      <c r="E3" s="557"/>
    </row>
    <row r="4" spans="1:5" ht="26.25">
      <c r="A4" s="20" t="s">
        <v>12</v>
      </c>
      <c r="C4" s="19" t="s">
        <v>19</v>
      </c>
      <c r="D4" s="20"/>
      <c r="E4" s="19" t="s">
        <v>57</v>
      </c>
    </row>
    <row r="5" spans="1:5">
      <c r="B5" s="1" t="s">
        <v>55</v>
      </c>
      <c r="C5" s="17">
        <v>3457322.56</v>
      </c>
      <c r="E5" s="17">
        <v>54424788.020000003</v>
      </c>
    </row>
    <row r="6" spans="1:5">
      <c r="B6" s="1" t="s">
        <v>56</v>
      </c>
      <c r="C6" s="17">
        <v>119940.61</v>
      </c>
      <c r="E6" s="17">
        <v>994593.24</v>
      </c>
    </row>
    <row r="7" spans="1:5">
      <c r="B7" s="1" t="s">
        <v>180</v>
      </c>
      <c r="C7" s="13">
        <v>5216.45</v>
      </c>
      <c r="D7" s="12"/>
      <c r="E7" s="13">
        <v>46345.75</v>
      </c>
    </row>
    <row r="8" spans="1:5">
      <c r="B8" s="1" t="s">
        <v>182</v>
      </c>
      <c r="C8" s="13">
        <v>40020</v>
      </c>
      <c r="D8" s="12"/>
      <c r="E8" s="13">
        <v>1025130</v>
      </c>
    </row>
    <row r="9" spans="1:5">
      <c r="B9" s="1" t="s">
        <v>9</v>
      </c>
      <c r="C9" s="13">
        <v>1313870.4099999999</v>
      </c>
      <c r="D9" s="12"/>
      <c r="E9" s="13">
        <v>1345440.98</v>
      </c>
    </row>
    <row r="10" spans="1:5">
      <c r="B10" s="1" t="s">
        <v>10</v>
      </c>
      <c r="C10" s="13">
        <v>0</v>
      </c>
      <c r="D10" s="12"/>
      <c r="E10" s="13">
        <v>4145.1899999999996</v>
      </c>
    </row>
    <row r="11" spans="1:5">
      <c r="B11" s="1" t="s">
        <v>187</v>
      </c>
      <c r="C11" s="13">
        <v>0</v>
      </c>
      <c r="D11" s="12"/>
      <c r="E11" s="13">
        <v>126919.5</v>
      </c>
    </row>
    <row r="12" spans="1:5">
      <c r="B12" s="1" t="s">
        <v>189</v>
      </c>
      <c r="C12" s="13">
        <v>0</v>
      </c>
      <c r="D12" s="12"/>
      <c r="E12" s="13">
        <v>181771.5</v>
      </c>
    </row>
    <row r="13" spans="1:5">
      <c r="B13" s="1" t="s">
        <v>354</v>
      </c>
      <c r="C13" s="13">
        <v>0</v>
      </c>
      <c r="D13" s="12"/>
      <c r="E13" s="13">
        <v>658956</v>
      </c>
    </row>
    <row r="14" spans="1:5">
      <c r="B14" s="1" t="s">
        <v>420</v>
      </c>
      <c r="C14" s="13">
        <v>0</v>
      </c>
      <c r="D14" s="12"/>
      <c r="E14" s="13">
        <v>1777852</v>
      </c>
    </row>
    <row r="15" spans="1:5">
      <c r="B15" s="1" t="s">
        <v>433</v>
      </c>
      <c r="C15" s="226">
        <v>3629714.08</v>
      </c>
      <c r="D15" s="12"/>
      <c r="E15" s="226">
        <v>3629714.08</v>
      </c>
    </row>
    <row r="16" spans="1:5" ht="24" thickBot="1">
      <c r="B16" s="2" t="s">
        <v>41</v>
      </c>
      <c r="C16" s="22">
        <f>SUM(C5:C15)</f>
        <v>8566084.1099999994</v>
      </c>
      <c r="E16" s="22">
        <f>SUM(E5:E15)</f>
        <v>64215656.259999998</v>
      </c>
    </row>
    <row r="17" spans="1:5" ht="27" thickTop="1">
      <c r="A17" s="20" t="s">
        <v>13</v>
      </c>
    </row>
    <row r="18" spans="1:5">
      <c r="B18" s="1" t="s">
        <v>58</v>
      </c>
      <c r="C18" s="17">
        <v>6996245.9000000004</v>
      </c>
      <c r="E18" s="17">
        <v>48730614.689999998</v>
      </c>
    </row>
    <row r="19" spans="1:5">
      <c r="B19" s="1" t="s">
        <v>59</v>
      </c>
      <c r="C19" s="17">
        <v>31019.15</v>
      </c>
      <c r="E19" s="17">
        <v>1408164.43</v>
      </c>
    </row>
    <row r="20" spans="1:5">
      <c r="B20" s="1" t="s">
        <v>325</v>
      </c>
      <c r="C20" s="17">
        <v>4100</v>
      </c>
      <c r="E20" s="17">
        <v>1025130</v>
      </c>
    </row>
    <row r="21" spans="1:5">
      <c r="B21" s="1" t="s">
        <v>326</v>
      </c>
      <c r="C21" s="17">
        <v>32709.21</v>
      </c>
      <c r="E21" s="17">
        <v>3313798.2</v>
      </c>
    </row>
    <row r="22" spans="1:5">
      <c r="B22" s="1" t="s">
        <v>340</v>
      </c>
      <c r="C22" s="17">
        <v>91.2</v>
      </c>
      <c r="E22" s="17">
        <v>1119729.51</v>
      </c>
    </row>
    <row r="23" spans="1:5">
      <c r="B23" s="1" t="s">
        <v>359</v>
      </c>
      <c r="C23" s="17">
        <v>0</v>
      </c>
      <c r="E23" s="17">
        <v>2674.63</v>
      </c>
    </row>
    <row r="24" spans="1:5">
      <c r="B24" s="1" t="s">
        <v>342</v>
      </c>
      <c r="C24" s="17">
        <v>0</v>
      </c>
      <c r="E24" s="17">
        <v>126919.5</v>
      </c>
    </row>
    <row r="25" spans="1:5">
      <c r="B25" s="1" t="s">
        <v>360</v>
      </c>
      <c r="C25" s="17">
        <v>0</v>
      </c>
      <c r="E25" s="17">
        <v>181771.5</v>
      </c>
    </row>
    <row r="26" spans="1:5">
      <c r="B26" s="1" t="s">
        <v>422</v>
      </c>
      <c r="C26" s="17">
        <v>0</v>
      </c>
      <c r="E26" s="17">
        <v>349664.15</v>
      </c>
    </row>
    <row r="27" spans="1:5">
      <c r="B27" s="1" t="s">
        <v>421</v>
      </c>
      <c r="C27" s="17">
        <v>0</v>
      </c>
      <c r="E27" s="17">
        <v>1276215.2</v>
      </c>
    </row>
    <row r="28" spans="1:5">
      <c r="B28" s="1" t="s">
        <v>180</v>
      </c>
      <c r="C28" s="17">
        <v>22139.75</v>
      </c>
      <c r="E28" s="17">
        <v>22139.75</v>
      </c>
    </row>
    <row r="29" spans="1:5" ht="24" thickBot="1">
      <c r="B29" s="2" t="s">
        <v>41</v>
      </c>
      <c r="C29" s="21">
        <f>SUM(C18:C28)</f>
        <v>7086305.2100000009</v>
      </c>
      <c r="E29" s="21">
        <f>SUM(E18:E28)</f>
        <v>57556821.560000002</v>
      </c>
    </row>
    <row r="30" spans="1:5" ht="24.75" thickTop="1" thickBot="1">
      <c r="B30" s="18" t="s">
        <v>60</v>
      </c>
      <c r="C30" s="22">
        <f>C16-C29</f>
        <v>1479778.8999999985</v>
      </c>
      <c r="E30" s="22">
        <f>E16-E29</f>
        <v>6658834.6999999955</v>
      </c>
    </row>
    <row r="31" spans="1:5" ht="24" thickTop="1"/>
  </sheetData>
  <mergeCells count="3">
    <mergeCell ref="A1:E1"/>
    <mergeCell ref="A2:E2"/>
    <mergeCell ref="A3:E3"/>
  </mergeCells>
  <phoneticPr fontId="3" type="noConversion"/>
  <pageMargins left="0.65" right="0.52" top="0.35" bottom="0.24" header="0.28000000000000003" footer="0.17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8"/>
  <sheetViews>
    <sheetView view="pageBreakPreview" zoomScale="110" zoomScaleNormal="120" zoomScaleSheetLayoutView="110" workbookViewId="0">
      <selection activeCell="A3" sqref="A3:P3"/>
    </sheetView>
  </sheetViews>
  <sheetFormatPr defaultRowHeight="23.25"/>
  <cols>
    <col min="1" max="1" width="12.85546875" style="1" customWidth="1"/>
    <col min="2" max="2" width="8.7109375" style="1" customWidth="1"/>
    <col min="3" max="3" width="8.28515625" style="1" customWidth="1"/>
    <col min="4" max="4" width="8.42578125" style="1" customWidth="1"/>
    <col min="5" max="5" width="7.85546875" style="1" customWidth="1"/>
    <col min="6" max="6" width="9.85546875" style="1" customWidth="1"/>
    <col min="7" max="7" width="10" style="1" customWidth="1"/>
    <col min="8" max="8" width="8.5703125" style="1" customWidth="1"/>
    <col min="9" max="9" width="10.5703125" style="1" customWidth="1"/>
    <col min="10" max="10" width="7.7109375" style="1" customWidth="1"/>
    <col min="11" max="11" width="9.85546875" style="1" bestFit="1" customWidth="1"/>
    <col min="12" max="12" width="7.85546875" style="1" customWidth="1"/>
    <col min="13" max="13" width="8.28515625" style="1" customWidth="1"/>
    <col min="14" max="14" width="8.5703125" style="1" customWidth="1"/>
    <col min="15" max="15" width="10" style="1" customWidth="1"/>
    <col min="16" max="17" width="9.140625" style="1"/>
    <col min="18" max="18" width="17.140625" style="1" customWidth="1"/>
    <col min="19" max="16384" width="9.140625" style="1"/>
  </cols>
  <sheetData>
    <row r="1" spans="1:18">
      <c r="A1" s="535" t="s">
        <v>38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</row>
    <row r="2" spans="1:18">
      <c r="A2" s="535" t="s">
        <v>355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</row>
    <row r="3" spans="1:18">
      <c r="A3" s="535" t="s">
        <v>425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</row>
    <row r="4" spans="1:18">
      <c r="A4" s="535" t="s">
        <v>72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</row>
    <row r="5" spans="1:18">
      <c r="A5" s="550" t="s">
        <v>73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</row>
    <row r="6" spans="1:18">
      <c r="A6" s="332" t="s">
        <v>70</v>
      </c>
      <c r="B6" s="126" t="s">
        <v>4</v>
      </c>
      <c r="C6" s="558" t="s">
        <v>104</v>
      </c>
      <c r="D6" s="558"/>
      <c r="E6" s="564" t="s">
        <v>107</v>
      </c>
      <c r="F6" s="565"/>
      <c r="G6" s="140" t="s">
        <v>109</v>
      </c>
      <c r="H6" s="166" t="s">
        <v>111</v>
      </c>
      <c r="I6" s="168" t="s">
        <v>113</v>
      </c>
      <c r="J6" s="561" t="s">
        <v>115</v>
      </c>
      <c r="K6" s="562"/>
      <c r="L6" s="563"/>
      <c r="M6" s="141" t="s">
        <v>117</v>
      </c>
      <c r="N6" s="559" t="s">
        <v>118</v>
      </c>
      <c r="O6" s="560"/>
      <c r="P6" s="142" t="s">
        <v>120</v>
      </c>
    </row>
    <row r="7" spans="1:18">
      <c r="A7" s="330" t="s">
        <v>71</v>
      </c>
      <c r="B7" s="144" t="s">
        <v>4</v>
      </c>
      <c r="C7" s="145" t="s">
        <v>105</v>
      </c>
      <c r="D7" s="167" t="s">
        <v>106</v>
      </c>
      <c r="E7" s="447" t="s">
        <v>108</v>
      </c>
      <c r="F7" s="145" t="s">
        <v>105</v>
      </c>
      <c r="G7" s="146" t="s">
        <v>110</v>
      </c>
      <c r="H7" s="147" t="s">
        <v>112</v>
      </c>
      <c r="I7" s="148" t="s">
        <v>114</v>
      </c>
      <c r="J7" s="149" t="s">
        <v>105</v>
      </c>
      <c r="K7" s="150" t="s">
        <v>116</v>
      </c>
      <c r="L7" s="150" t="s">
        <v>134</v>
      </c>
      <c r="M7" s="151" t="s">
        <v>105</v>
      </c>
      <c r="N7" s="129" t="s">
        <v>119</v>
      </c>
      <c r="O7" s="127" t="s">
        <v>118</v>
      </c>
      <c r="P7" s="152" t="s">
        <v>212</v>
      </c>
    </row>
    <row r="8" spans="1:18">
      <c r="A8" s="333">
        <v>5110700</v>
      </c>
      <c r="B8" s="76">
        <v>-17600</v>
      </c>
      <c r="C8" s="145"/>
      <c r="D8" s="167"/>
      <c r="E8" s="447"/>
      <c r="F8" s="145"/>
      <c r="G8" s="146"/>
      <c r="H8" s="147"/>
      <c r="I8" s="148"/>
      <c r="J8" s="149"/>
      <c r="K8" s="150"/>
      <c r="L8" s="150"/>
      <c r="M8" s="151"/>
      <c r="N8" s="129"/>
      <c r="O8" s="127"/>
      <c r="P8" s="152"/>
    </row>
    <row r="9" spans="1:18">
      <c r="A9" s="333">
        <v>5110800</v>
      </c>
      <c r="B9" s="76">
        <v>17600</v>
      </c>
      <c r="C9" s="145"/>
      <c r="D9" s="167"/>
      <c r="E9" s="447"/>
      <c r="F9" s="145"/>
      <c r="G9" s="146"/>
      <c r="H9" s="147"/>
      <c r="I9" s="148"/>
      <c r="J9" s="149"/>
      <c r="K9" s="150"/>
      <c r="L9" s="150"/>
      <c r="M9" s="151"/>
      <c r="N9" s="129"/>
      <c r="O9" s="127"/>
      <c r="P9" s="152"/>
    </row>
    <row r="10" spans="1:18">
      <c r="A10" s="333">
        <v>5220100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>
        <v>17500</v>
      </c>
      <c r="N10" s="310"/>
      <c r="O10" s="310"/>
      <c r="P10" s="311"/>
    </row>
    <row r="11" spans="1:18">
      <c r="A11" s="333">
        <v>5220800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>
        <v>-8600</v>
      </c>
      <c r="N11" s="310"/>
      <c r="O11" s="310"/>
      <c r="P11" s="311"/>
    </row>
    <row r="12" spans="1:18">
      <c r="A12" s="333">
        <v>5320300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>
        <v>-3900</v>
      </c>
      <c r="N12" s="310"/>
      <c r="O12" s="310"/>
      <c r="P12" s="311"/>
    </row>
    <row r="13" spans="1:18">
      <c r="A13" s="333">
        <v>5610100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>
        <v>-5000</v>
      </c>
      <c r="N13" s="310"/>
      <c r="O13" s="310"/>
      <c r="P13" s="311"/>
    </row>
    <row r="14" spans="1:18">
      <c r="A14" s="334" t="s">
        <v>41</v>
      </c>
      <c r="B14" s="391">
        <f>SUM(B10:B13)</f>
        <v>0</v>
      </c>
      <c r="C14" s="391">
        <f>SUM(C10:C13)</f>
        <v>0</v>
      </c>
      <c r="D14" s="391">
        <f>SUM(D10:D13)</f>
        <v>0</v>
      </c>
      <c r="E14" s="391">
        <v>0</v>
      </c>
      <c r="F14" s="391">
        <f>SUM(F10:F13)</f>
        <v>0</v>
      </c>
      <c r="G14" s="391">
        <v>0</v>
      </c>
      <c r="H14" s="391"/>
      <c r="I14" s="391">
        <v>0</v>
      </c>
      <c r="J14" s="391">
        <f>SUM(J10:J13)</f>
        <v>0</v>
      </c>
      <c r="K14" s="391">
        <f>SUM(K10:K13)</f>
        <v>0</v>
      </c>
      <c r="L14" s="391">
        <v>0</v>
      </c>
      <c r="M14" s="391">
        <f>SUM(M10:M13)</f>
        <v>0</v>
      </c>
      <c r="N14" s="391">
        <v>0</v>
      </c>
      <c r="O14" s="391">
        <v>0</v>
      </c>
      <c r="P14" s="391">
        <f>SUM(P10:P13)</f>
        <v>0</v>
      </c>
      <c r="Q14" s="238"/>
      <c r="R14" s="17"/>
    </row>
    <row r="15" spans="1:18">
      <c r="A15" s="22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R15" s="238">
        <f>C14+F14+J14+K14+P14</f>
        <v>0</v>
      </c>
    </row>
    <row r="16" spans="1:18">
      <c r="A16" s="22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33" spans="1:18">
      <c r="A33" s="535" t="s">
        <v>38</v>
      </c>
      <c r="B33" s="535"/>
      <c r="C33" s="535"/>
      <c r="D33" s="535"/>
      <c r="E33" s="535"/>
      <c r="F33" s="535"/>
      <c r="G33" s="535"/>
      <c r="H33" s="535"/>
      <c r="I33" s="535"/>
      <c r="J33" s="535"/>
      <c r="K33" s="535"/>
      <c r="L33" s="535"/>
      <c r="M33" s="535"/>
      <c r="N33" s="535"/>
      <c r="O33" s="535"/>
      <c r="P33" s="535"/>
    </row>
    <row r="34" spans="1:18">
      <c r="A34" s="535" t="s">
        <v>355</v>
      </c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</row>
    <row r="35" spans="1:18">
      <c r="A35" s="535" t="s">
        <v>390</v>
      </c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35"/>
      <c r="M35" s="535"/>
      <c r="N35" s="535"/>
      <c r="O35" s="535"/>
      <c r="P35" s="535"/>
    </row>
    <row r="36" spans="1:18">
      <c r="A36" s="535" t="s">
        <v>72</v>
      </c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</row>
    <row r="37" spans="1:18">
      <c r="A37" s="550" t="s">
        <v>73</v>
      </c>
      <c r="B37" s="550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</row>
    <row r="38" spans="1:18">
      <c r="A38" s="332" t="s">
        <v>70</v>
      </c>
      <c r="B38" s="126" t="s">
        <v>4</v>
      </c>
      <c r="C38" s="558" t="s">
        <v>104</v>
      </c>
      <c r="D38" s="558"/>
      <c r="E38" s="564" t="s">
        <v>107</v>
      </c>
      <c r="F38" s="565"/>
      <c r="G38" s="140" t="s">
        <v>109</v>
      </c>
      <c r="H38" s="166" t="s">
        <v>111</v>
      </c>
      <c r="I38" s="168" t="s">
        <v>113</v>
      </c>
      <c r="J38" s="561" t="s">
        <v>115</v>
      </c>
      <c r="K38" s="562"/>
      <c r="L38" s="563"/>
      <c r="M38" s="141" t="s">
        <v>117</v>
      </c>
      <c r="N38" s="559" t="s">
        <v>118</v>
      </c>
      <c r="O38" s="560"/>
      <c r="P38" s="142" t="s">
        <v>120</v>
      </c>
    </row>
    <row r="39" spans="1:18">
      <c r="A39" s="330" t="s">
        <v>71</v>
      </c>
      <c r="B39" s="144" t="s">
        <v>4</v>
      </c>
      <c r="C39" s="145" t="s">
        <v>105</v>
      </c>
      <c r="D39" s="167" t="s">
        <v>106</v>
      </c>
      <c r="E39" s="447" t="s">
        <v>108</v>
      </c>
      <c r="F39" s="145" t="s">
        <v>105</v>
      </c>
      <c r="G39" s="146" t="s">
        <v>110</v>
      </c>
      <c r="H39" s="147" t="s">
        <v>112</v>
      </c>
      <c r="I39" s="148" t="s">
        <v>114</v>
      </c>
      <c r="J39" s="149" t="s">
        <v>105</v>
      </c>
      <c r="K39" s="150" t="s">
        <v>116</v>
      </c>
      <c r="L39" s="150" t="s">
        <v>134</v>
      </c>
      <c r="M39" s="151" t="s">
        <v>105</v>
      </c>
      <c r="N39" s="129" t="s">
        <v>119</v>
      </c>
      <c r="O39" s="127" t="s">
        <v>118</v>
      </c>
      <c r="P39" s="152" t="s">
        <v>212</v>
      </c>
    </row>
    <row r="40" spans="1:18">
      <c r="A40" s="333">
        <v>511000</v>
      </c>
      <c r="B40" s="310">
        <v>-57500</v>
      </c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1"/>
    </row>
    <row r="41" spans="1:18">
      <c r="A41" s="333">
        <v>5220100</v>
      </c>
      <c r="B41" s="310"/>
      <c r="C41" s="310"/>
      <c r="D41" s="310"/>
      <c r="E41" s="310"/>
      <c r="F41" s="310"/>
      <c r="G41" s="310"/>
      <c r="H41" s="310"/>
      <c r="I41" s="310"/>
      <c r="J41" s="310">
        <v>-61390</v>
      </c>
      <c r="K41" s="310"/>
      <c r="L41" s="310"/>
      <c r="M41" s="310"/>
      <c r="N41" s="310"/>
      <c r="O41" s="310"/>
      <c r="P41" s="311"/>
    </row>
    <row r="42" spans="1:18">
      <c r="A42" s="333">
        <v>5410600</v>
      </c>
      <c r="B42" s="310"/>
      <c r="C42" s="310">
        <v>7000</v>
      </c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1"/>
      <c r="R42" s="17"/>
    </row>
    <row r="43" spans="1:18">
      <c r="A43" s="333">
        <v>5411500</v>
      </c>
      <c r="B43" s="310"/>
      <c r="C43" s="310">
        <v>7500</v>
      </c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1"/>
      <c r="R43" s="17"/>
    </row>
    <row r="44" spans="1:18">
      <c r="A44" s="333">
        <v>5410100</v>
      </c>
      <c r="B44" s="310"/>
      <c r="C44" s="310">
        <v>43000</v>
      </c>
      <c r="D44" s="310"/>
      <c r="E44" s="310"/>
      <c r="F44" s="310"/>
      <c r="G44" s="310"/>
      <c r="H44" s="310"/>
      <c r="I44" s="310"/>
      <c r="J44" s="310">
        <v>61390</v>
      </c>
      <c r="K44" s="310"/>
      <c r="L44" s="310"/>
      <c r="M44" s="310"/>
      <c r="N44" s="310"/>
      <c r="O44" s="310"/>
      <c r="P44" s="311"/>
      <c r="R44" s="17"/>
    </row>
    <row r="45" spans="1:18">
      <c r="A45" s="334" t="s">
        <v>41</v>
      </c>
      <c r="B45" s="391">
        <f>SUM(B40:B44)</f>
        <v>-57500</v>
      </c>
      <c r="C45" s="391">
        <f>SUM(C40:C44)</f>
        <v>57500</v>
      </c>
      <c r="D45" s="391">
        <f t="shared" ref="D45:J45" si="0">SUM(D40:D44)</f>
        <v>0</v>
      </c>
      <c r="E45" s="391">
        <f t="shared" si="0"/>
        <v>0</v>
      </c>
      <c r="F45" s="391">
        <f t="shared" si="0"/>
        <v>0</v>
      </c>
      <c r="G45" s="391">
        <f t="shared" si="0"/>
        <v>0</v>
      </c>
      <c r="H45" s="391">
        <f t="shared" si="0"/>
        <v>0</v>
      </c>
      <c r="I45" s="391">
        <f t="shared" si="0"/>
        <v>0</v>
      </c>
      <c r="J45" s="391">
        <f t="shared" si="0"/>
        <v>0</v>
      </c>
      <c r="K45" s="391">
        <v>0</v>
      </c>
      <c r="L45" s="391">
        <f>SUM(L40:L44)</f>
        <v>0</v>
      </c>
      <c r="M45" s="391">
        <f>SUM(M40:M43)</f>
        <v>0</v>
      </c>
      <c r="N45" s="391">
        <f>SUM(N40:N43)</f>
        <v>0</v>
      </c>
      <c r="O45" s="391">
        <f>SUM(O40:O43)</f>
        <v>0</v>
      </c>
      <c r="P45" s="391">
        <f>SUM(P40:P43)</f>
        <v>0</v>
      </c>
      <c r="Q45" s="238"/>
      <c r="R45" s="17"/>
    </row>
    <row r="46" spans="1:18">
      <c r="A46" s="22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238"/>
      <c r="R46" s="17"/>
    </row>
    <row r="47" spans="1:18">
      <c r="A47" s="22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58" spans="1:16">
      <c r="A58" s="535" t="s">
        <v>38</v>
      </c>
      <c r="B58" s="535"/>
      <c r="C58" s="535"/>
      <c r="D58" s="535"/>
      <c r="E58" s="535"/>
      <c r="F58" s="535"/>
      <c r="G58" s="535"/>
      <c r="H58" s="535"/>
      <c r="I58" s="535"/>
      <c r="J58" s="535"/>
      <c r="K58" s="535"/>
      <c r="L58" s="535"/>
      <c r="M58" s="535"/>
      <c r="N58" s="535"/>
      <c r="O58" s="535"/>
      <c r="P58" s="535"/>
    </row>
    <row r="59" spans="1:16">
      <c r="A59" s="535" t="s">
        <v>324</v>
      </c>
      <c r="B59" s="535"/>
      <c r="C59" s="535"/>
      <c r="D59" s="535"/>
      <c r="E59" s="535"/>
      <c r="F59" s="535"/>
      <c r="G59" s="535"/>
      <c r="H59" s="535"/>
      <c r="I59" s="535"/>
      <c r="J59" s="535"/>
      <c r="K59" s="535"/>
      <c r="L59" s="535"/>
      <c r="M59" s="535"/>
      <c r="N59" s="535"/>
      <c r="O59" s="535"/>
      <c r="P59" s="535"/>
    </row>
    <row r="60" spans="1:16">
      <c r="A60" s="535" t="s">
        <v>346</v>
      </c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  <c r="M60" s="535"/>
      <c r="N60" s="535"/>
      <c r="O60" s="535"/>
      <c r="P60" s="535"/>
    </row>
    <row r="61" spans="1:16">
      <c r="A61" s="535" t="s">
        <v>72</v>
      </c>
      <c r="B61" s="535"/>
      <c r="C61" s="535"/>
      <c r="D61" s="535"/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5"/>
    </row>
    <row r="62" spans="1:16">
      <c r="A62" s="550" t="s">
        <v>73</v>
      </c>
      <c r="B62" s="550"/>
      <c r="C62" s="550"/>
      <c r="D62" s="550"/>
      <c r="E62" s="550"/>
      <c r="F62" s="550"/>
      <c r="G62" s="550"/>
      <c r="H62" s="550"/>
      <c r="I62" s="550"/>
      <c r="J62" s="550"/>
      <c r="K62" s="550"/>
      <c r="L62" s="550"/>
      <c r="M62" s="550"/>
      <c r="N62" s="550"/>
      <c r="O62" s="550"/>
      <c r="P62" s="550"/>
    </row>
    <row r="63" spans="1:16">
      <c r="A63" s="332" t="s">
        <v>70</v>
      </c>
      <c r="B63" s="126" t="s">
        <v>4</v>
      </c>
      <c r="C63" s="558" t="s">
        <v>104</v>
      </c>
      <c r="D63" s="558"/>
      <c r="E63" s="564" t="s">
        <v>107</v>
      </c>
      <c r="F63" s="565"/>
      <c r="G63" s="140" t="s">
        <v>109</v>
      </c>
      <c r="H63" s="166" t="s">
        <v>111</v>
      </c>
      <c r="I63" s="168" t="s">
        <v>113</v>
      </c>
      <c r="J63" s="561" t="s">
        <v>115</v>
      </c>
      <c r="K63" s="562"/>
      <c r="L63" s="563"/>
      <c r="M63" s="141" t="s">
        <v>117</v>
      </c>
      <c r="N63" s="559" t="s">
        <v>118</v>
      </c>
      <c r="O63" s="560"/>
      <c r="P63" s="142" t="s">
        <v>126</v>
      </c>
    </row>
    <row r="64" spans="1:16">
      <c r="A64" s="330" t="s">
        <v>71</v>
      </c>
      <c r="B64" s="144" t="s">
        <v>4</v>
      </c>
      <c r="C64" s="145" t="s">
        <v>105</v>
      </c>
      <c r="D64" s="167" t="s">
        <v>106</v>
      </c>
      <c r="E64" s="169" t="s">
        <v>341</v>
      </c>
      <c r="F64" s="145" t="s">
        <v>105</v>
      </c>
      <c r="G64" s="146" t="s">
        <v>110</v>
      </c>
      <c r="H64" s="147" t="s">
        <v>112</v>
      </c>
      <c r="I64" s="148" t="s">
        <v>114</v>
      </c>
      <c r="J64" s="149" t="s">
        <v>105</v>
      </c>
      <c r="K64" s="150" t="s">
        <v>116</v>
      </c>
      <c r="L64" s="150" t="s">
        <v>134</v>
      </c>
      <c r="M64" s="151" t="s">
        <v>105</v>
      </c>
      <c r="N64" s="129" t="s">
        <v>119</v>
      </c>
      <c r="O64" s="127" t="s">
        <v>118</v>
      </c>
      <c r="P64" s="152" t="s">
        <v>127</v>
      </c>
    </row>
    <row r="65" spans="1:18">
      <c r="A65" s="333">
        <v>5220100</v>
      </c>
      <c r="B65" s="310"/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>
        <v>-30000</v>
      </c>
      <c r="N65" s="310"/>
      <c r="O65" s="310"/>
      <c r="P65" s="311"/>
      <c r="R65" s="17" t="s">
        <v>193</v>
      </c>
    </row>
    <row r="66" spans="1:18">
      <c r="A66" s="333">
        <v>5320300</v>
      </c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>
        <v>30000</v>
      </c>
      <c r="N66" s="310"/>
      <c r="O66" s="310"/>
      <c r="P66" s="311"/>
      <c r="R66" s="17" t="s">
        <v>206</v>
      </c>
    </row>
    <row r="67" spans="1:18">
      <c r="A67" s="334" t="s">
        <v>41</v>
      </c>
      <c r="B67" s="391">
        <f t="shared" ref="B67:P67" si="1">SUM(B65:B66)</f>
        <v>0</v>
      </c>
      <c r="C67" s="391">
        <f t="shared" si="1"/>
        <v>0</v>
      </c>
      <c r="D67" s="391">
        <f t="shared" si="1"/>
        <v>0</v>
      </c>
      <c r="E67" s="391">
        <f t="shared" si="1"/>
        <v>0</v>
      </c>
      <c r="F67" s="391">
        <f t="shared" si="1"/>
        <v>0</v>
      </c>
      <c r="G67" s="391">
        <f t="shared" si="1"/>
        <v>0</v>
      </c>
      <c r="H67" s="391">
        <f t="shared" si="1"/>
        <v>0</v>
      </c>
      <c r="I67" s="391">
        <f t="shared" si="1"/>
        <v>0</v>
      </c>
      <c r="J67" s="391">
        <f t="shared" si="1"/>
        <v>0</v>
      </c>
      <c r="K67" s="391">
        <f t="shared" si="1"/>
        <v>0</v>
      </c>
      <c r="L67" s="391">
        <f t="shared" si="1"/>
        <v>0</v>
      </c>
      <c r="M67" s="391">
        <f t="shared" si="1"/>
        <v>0</v>
      </c>
      <c r="N67" s="391">
        <f t="shared" si="1"/>
        <v>0</v>
      </c>
      <c r="O67" s="391">
        <f t="shared" si="1"/>
        <v>0</v>
      </c>
      <c r="P67" s="391">
        <f t="shared" si="1"/>
        <v>0</v>
      </c>
    </row>
    <row r="68" spans="1:18">
      <c r="A68" s="222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</sheetData>
  <mergeCells count="27">
    <mergeCell ref="C63:D63"/>
    <mergeCell ref="J63:L63"/>
    <mergeCell ref="N63:O63"/>
    <mergeCell ref="E63:F63"/>
    <mergeCell ref="E38:F38"/>
    <mergeCell ref="J38:L38"/>
    <mergeCell ref="N38:O38"/>
    <mergeCell ref="A58:P58"/>
    <mergeCell ref="A59:P59"/>
    <mergeCell ref="A60:P60"/>
    <mergeCell ref="A61:P61"/>
    <mergeCell ref="A62:P62"/>
    <mergeCell ref="C38:D38"/>
    <mergeCell ref="A33:P33"/>
    <mergeCell ref="A34:P34"/>
    <mergeCell ref="A35:P35"/>
    <mergeCell ref="A36:P36"/>
    <mergeCell ref="A37:P37"/>
    <mergeCell ref="A1:P1"/>
    <mergeCell ref="A2:P2"/>
    <mergeCell ref="A3:P3"/>
    <mergeCell ref="A4:P4"/>
    <mergeCell ref="A5:P5"/>
    <mergeCell ref="C6:D6"/>
    <mergeCell ref="N6:O6"/>
    <mergeCell ref="J6:L6"/>
    <mergeCell ref="E6:F6"/>
  </mergeCells>
  <phoneticPr fontId="3" type="noConversion"/>
  <pageMargins left="0.16" right="0.15" top="0.2" bottom="0.18" header="0.15" footer="0.1400000000000000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F9" sqref="F9"/>
    </sheetView>
  </sheetViews>
  <sheetFormatPr defaultRowHeight="21"/>
  <cols>
    <col min="1" max="1" width="10.7109375" style="10" customWidth="1"/>
    <col min="2" max="2" width="39" style="10" customWidth="1"/>
    <col min="3" max="3" width="18.28515625" style="10" customWidth="1"/>
    <col min="4" max="4" width="9.140625" style="10"/>
    <col min="5" max="5" width="9.85546875" style="10" bestFit="1" customWidth="1"/>
    <col min="6" max="7" width="9.28515625" style="10" bestFit="1" customWidth="1"/>
    <col min="8" max="10" width="9.140625" style="10"/>
    <col min="11" max="11" width="14.42578125" style="10" customWidth="1"/>
    <col min="12" max="12" width="10.85546875" style="10" customWidth="1"/>
    <col min="13" max="16384" width="9.140625" style="10"/>
  </cols>
  <sheetData>
    <row r="1" spans="1:4" ht="23.25">
      <c r="A1" s="529" t="s">
        <v>53</v>
      </c>
      <c r="B1" s="529"/>
      <c r="C1" s="529"/>
    </row>
    <row r="2" spans="1:4" ht="23.25">
      <c r="A2" s="531" t="s">
        <v>148</v>
      </c>
      <c r="B2" s="531"/>
      <c r="C2" s="531"/>
    </row>
    <row r="3" spans="1:4" ht="23.25">
      <c r="A3" s="531" t="s">
        <v>446</v>
      </c>
      <c r="B3" s="531"/>
      <c r="C3" s="531"/>
    </row>
    <row r="4" spans="1:4" ht="23.25">
      <c r="A4" s="304"/>
      <c r="B4" s="1"/>
      <c r="C4" s="1"/>
    </row>
    <row r="5" spans="1:4" ht="23.25">
      <c r="A5" s="304" t="s">
        <v>88</v>
      </c>
      <c r="B5" s="1"/>
      <c r="C5" s="2"/>
    </row>
    <row r="6" spans="1:4" ht="23.25">
      <c r="A6" s="304"/>
      <c r="B6" s="1"/>
      <c r="C6" s="2" t="s">
        <v>47</v>
      </c>
    </row>
    <row r="7" spans="1:4" ht="23.25">
      <c r="A7" s="304"/>
      <c r="B7" s="1" t="s">
        <v>150</v>
      </c>
      <c r="C7" s="17">
        <v>100895.35</v>
      </c>
    </row>
    <row r="8" spans="1:4" ht="23.25">
      <c r="A8" s="304"/>
      <c r="B8" s="1" t="s">
        <v>151</v>
      </c>
      <c r="C8" s="17">
        <v>359565</v>
      </c>
    </row>
    <row r="9" spans="1:4" ht="23.25">
      <c r="A9" s="1"/>
      <c r="B9" s="1" t="s">
        <v>152</v>
      </c>
      <c r="C9" s="17">
        <v>8454.0499999999993</v>
      </c>
    </row>
    <row r="10" spans="1:4" ht="23.25">
      <c r="A10" s="305"/>
      <c r="B10" s="1" t="s">
        <v>248</v>
      </c>
      <c r="C10" s="17">
        <v>259665.84</v>
      </c>
    </row>
    <row r="11" spans="1:4" ht="23.25">
      <c r="A11" s="1"/>
      <c r="B11" s="1" t="s">
        <v>153</v>
      </c>
      <c r="C11" s="17">
        <v>658956</v>
      </c>
    </row>
    <row r="12" spans="1:4" ht="23.25">
      <c r="A12" s="1"/>
      <c r="B12" s="1" t="s">
        <v>260</v>
      </c>
      <c r="C12" s="17">
        <v>30400</v>
      </c>
      <c r="D12" s="281"/>
    </row>
    <row r="13" spans="1:4" ht="24" thickBot="1">
      <c r="A13" s="1"/>
      <c r="B13" s="306" t="s">
        <v>41</v>
      </c>
      <c r="C13" s="501">
        <f>SUM(C7:C12)</f>
        <v>1417936.24</v>
      </c>
      <c r="D13" s="281"/>
    </row>
    <row r="14" spans="1:4" ht="24" thickTop="1">
      <c r="A14" s="1"/>
      <c r="B14" s="1"/>
      <c r="C14" s="1"/>
    </row>
    <row r="15" spans="1:4" ht="23.25">
      <c r="A15" s="304" t="s">
        <v>190</v>
      </c>
      <c r="B15" s="1"/>
      <c r="C15" s="1"/>
    </row>
    <row r="16" spans="1:4" ht="23.25">
      <c r="A16" s="307" t="s">
        <v>149</v>
      </c>
      <c r="B16" s="1"/>
      <c r="C16" s="2" t="s">
        <v>47</v>
      </c>
    </row>
    <row r="17" spans="1:12" ht="23.25">
      <c r="A17" s="307"/>
      <c r="B17" s="304" t="s">
        <v>249</v>
      </c>
      <c r="C17" s="2"/>
    </row>
    <row r="18" spans="1:12" ht="23.25">
      <c r="A18" s="307"/>
      <c r="B18" s="1" t="s">
        <v>427</v>
      </c>
      <c r="C18" s="460">
        <v>124000</v>
      </c>
    </row>
    <row r="19" spans="1:12" ht="23.25">
      <c r="A19" s="307"/>
      <c r="B19" s="304" t="s">
        <v>430</v>
      </c>
      <c r="C19" s="460"/>
    </row>
    <row r="20" spans="1:12" ht="23.25">
      <c r="A20" s="307"/>
      <c r="B20" s="1" t="s">
        <v>431</v>
      </c>
      <c r="C20" s="460">
        <v>17500</v>
      </c>
    </row>
    <row r="21" spans="1:12" ht="23.25">
      <c r="A21" s="1"/>
      <c r="B21" s="304" t="s">
        <v>74</v>
      </c>
      <c r="C21" s="17"/>
    </row>
    <row r="22" spans="1:12" ht="23.25">
      <c r="A22" s="1"/>
      <c r="B22" s="1" t="s">
        <v>137</v>
      </c>
      <c r="C22" s="17">
        <f>12472+26472+4000+9000+45000+18000+3000</f>
        <v>117944</v>
      </c>
      <c r="E22" s="335"/>
      <c r="F22" s="335"/>
      <c r="G22" s="335"/>
      <c r="H22" s="335"/>
      <c r="I22" s="335"/>
      <c r="K22" s="326"/>
      <c r="L22" s="326"/>
    </row>
    <row r="23" spans="1:12" ht="23.25">
      <c r="A23" s="1"/>
      <c r="B23" s="1" t="s">
        <v>254</v>
      </c>
      <c r="C23" s="17">
        <f>12000+36000+36000+6500</f>
        <v>90500</v>
      </c>
      <c r="E23" s="335"/>
      <c r="F23" s="335"/>
      <c r="G23" s="335"/>
      <c r="H23" s="335"/>
      <c r="I23" s="335"/>
      <c r="K23" s="326"/>
    </row>
    <row r="24" spans="1:12" ht="23.25">
      <c r="A24" s="1"/>
      <c r="B24" s="304" t="s">
        <v>75</v>
      </c>
      <c r="C24" s="17"/>
      <c r="E24" s="335"/>
      <c r="F24" s="335"/>
      <c r="G24" s="335"/>
      <c r="H24" s="335"/>
      <c r="I24" s="335"/>
      <c r="K24" s="326"/>
    </row>
    <row r="25" spans="1:12" ht="23.25">
      <c r="A25" s="1"/>
      <c r="B25" s="1" t="s">
        <v>140</v>
      </c>
      <c r="C25" s="17">
        <v>700</v>
      </c>
      <c r="E25" s="335"/>
      <c r="F25" s="335"/>
      <c r="G25" s="335"/>
      <c r="H25" s="335"/>
      <c r="I25" s="335"/>
      <c r="K25" s="326"/>
    </row>
    <row r="26" spans="1:12" ht="23.25">
      <c r="A26" s="1"/>
      <c r="B26" s="1" t="s">
        <v>358</v>
      </c>
      <c r="C26" s="17">
        <f>7000+15000+8000+5000+16000</f>
        <v>51000</v>
      </c>
      <c r="E26" s="335"/>
      <c r="F26" s="335"/>
      <c r="G26" s="335"/>
      <c r="H26" s="335"/>
      <c r="I26" s="335"/>
      <c r="K26" s="326"/>
    </row>
    <row r="27" spans="1:12" ht="23.25">
      <c r="A27" s="1"/>
      <c r="B27" s="1" t="s">
        <v>429</v>
      </c>
      <c r="C27" s="17">
        <v>235070.07999999999</v>
      </c>
      <c r="E27" s="335"/>
      <c r="F27" s="335"/>
      <c r="G27" s="335"/>
      <c r="H27" s="335"/>
      <c r="I27" s="335"/>
      <c r="K27" s="326"/>
    </row>
    <row r="28" spans="1:12" ht="23.25">
      <c r="A28" s="1"/>
      <c r="B28" s="304" t="s">
        <v>350</v>
      </c>
      <c r="C28" s="17"/>
      <c r="E28" s="335"/>
      <c r="F28" s="335"/>
      <c r="G28" s="335"/>
      <c r="H28" s="335"/>
      <c r="I28" s="335"/>
      <c r="K28" s="326"/>
    </row>
    <row r="29" spans="1:12" ht="23.25">
      <c r="A29" s="1"/>
      <c r="B29" s="1" t="s">
        <v>428</v>
      </c>
      <c r="C29" s="17">
        <v>2993000</v>
      </c>
      <c r="E29" s="335"/>
      <c r="F29" s="335"/>
      <c r="G29" s="335"/>
      <c r="H29" s="335"/>
      <c r="I29" s="335"/>
      <c r="K29" s="326"/>
    </row>
    <row r="30" spans="1:12" ht="24" thickBot="1">
      <c r="A30" s="1"/>
      <c r="B30" s="2" t="s">
        <v>41</v>
      </c>
      <c r="C30" s="501">
        <f>SUM(C18:C29)</f>
        <v>3629714.08</v>
      </c>
    </row>
    <row r="31" spans="1:12" ht="24" thickTop="1">
      <c r="A31" s="1"/>
      <c r="B31" s="1"/>
      <c r="C31" s="1"/>
    </row>
    <row r="32" spans="1:12" ht="23.25">
      <c r="A32" s="1"/>
      <c r="B32" s="1"/>
      <c r="C32" s="1"/>
    </row>
  </sheetData>
  <mergeCells count="3">
    <mergeCell ref="A1:C1"/>
    <mergeCell ref="A2:C2"/>
    <mergeCell ref="A3:C3"/>
  </mergeCells>
  <pageMargins left="1.46" right="0.7" top="0.3" bottom="0.31" header="0.27" footer="0.2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57"/>
  <sheetViews>
    <sheetView tabSelected="1" workbookViewId="0">
      <selection activeCell="A11" sqref="A11"/>
    </sheetView>
  </sheetViews>
  <sheetFormatPr defaultRowHeight="23.25"/>
  <cols>
    <col min="1" max="1" width="45.5703125" style="1" customWidth="1"/>
    <col min="2" max="2" width="12.42578125" style="1" customWidth="1"/>
    <col min="3" max="3" width="13.7109375" style="1" customWidth="1"/>
    <col min="4" max="4" width="13.140625" style="1" customWidth="1"/>
    <col min="5" max="5" width="12.5703125" style="1" customWidth="1"/>
    <col min="6" max="6" width="13.85546875" style="1" customWidth="1"/>
    <col min="7" max="7" width="13.140625" style="1" customWidth="1"/>
    <col min="8" max="8" width="14.28515625" style="1" customWidth="1"/>
    <col min="9" max="9" width="12.85546875" style="1" customWidth="1"/>
    <col min="10" max="11" width="10.42578125" style="1" bestFit="1" customWidth="1"/>
    <col min="12" max="12" width="10.28515625" style="1" bestFit="1" customWidth="1"/>
    <col min="13" max="13" width="11.5703125" style="1" customWidth="1"/>
    <col min="14" max="14" width="12.42578125" style="1" customWidth="1"/>
    <col min="15" max="15" width="13" style="1" customWidth="1"/>
    <col min="16" max="16384" width="9.140625" style="1"/>
  </cols>
  <sheetData>
    <row r="1" spans="1:1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ht="26.25">
      <c r="A2" s="566" t="s">
        <v>154</v>
      </c>
      <c r="B2" s="566"/>
      <c r="C2" s="566"/>
      <c r="D2" s="566"/>
      <c r="E2" s="566"/>
      <c r="F2" s="25"/>
      <c r="G2" s="25"/>
      <c r="H2" s="25"/>
      <c r="I2" s="25"/>
      <c r="J2" s="25"/>
      <c r="K2" s="25"/>
    </row>
    <row r="3" spans="1:15" ht="26.25">
      <c r="A3" s="566" t="s">
        <v>426</v>
      </c>
      <c r="B3" s="566"/>
      <c r="C3" s="566"/>
      <c r="D3" s="566"/>
      <c r="E3" s="566"/>
      <c r="F3" s="25"/>
      <c r="G3" s="25"/>
      <c r="H3" s="25"/>
      <c r="I3" s="25"/>
      <c r="J3" s="25"/>
      <c r="K3" s="25"/>
    </row>
    <row r="4" spans="1:15">
      <c r="A4" s="187"/>
      <c r="B4" s="187"/>
      <c r="C4" s="187"/>
      <c r="D4" s="187"/>
      <c r="E4" s="187"/>
      <c r="F4" s="25"/>
      <c r="G4" s="25"/>
      <c r="H4" s="25"/>
      <c r="I4" s="25"/>
      <c r="J4" s="25"/>
      <c r="K4" s="25"/>
    </row>
    <row r="5" spans="1:15">
      <c r="A5" s="567" t="s">
        <v>77</v>
      </c>
      <c r="B5" s="568" t="s">
        <v>47</v>
      </c>
      <c r="C5" s="569"/>
      <c r="D5" s="570" t="s">
        <v>80</v>
      </c>
      <c r="E5" s="572" t="s">
        <v>81</v>
      </c>
      <c r="F5" s="25"/>
      <c r="G5" s="25"/>
      <c r="H5" s="25"/>
      <c r="I5" s="25"/>
      <c r="J5" s="25"/>
      <c r="K5" s="25"/>
    </row>
    <row r="6" spans="1:15">
      <c r="A6" s="567"/>
      <c r="B6" s="34" t="s">
        <v>78</v>
      </c>
      <c r="C6" s="35" t="s">
        <v>79</v>
      </c>
      <c r="D6" s="571"/>
      <c r="E6" s="571"/>
      <c r="F6" s="25"/>
      <c r="G6" s="25"/>
      <c r="H6" s="25"/>
      <c r="I6" s="25"/>
      <c r="J6" s="25"/>
      <c r="K6" s="25"/>
    </row>
    <row r="7" spans="1:15">
      <c r="A7" s="452" t="s">
        <v>249</v>
      </c>
      <c r="B7" s="454"/>
      <c r="C7" s="455"/>
      <c r="D7" s="456"/>
      <c r="E7" s="457"/>
      <c r="F7" s="25"/>
      <c r="G7" s="25"/>
      <c r="H7" s="25"/>
      <c r="I7" s="25"/>
      <c r="J7" s="25"/>
      <c r="K7" s="25"/>
    </row>
    <row r="8" spans="1:15">
      <c r="A8" s="453" t="s">
        <v>349</v>
      </c>
      <c r="B8" s="454">
        <v>124000</v>
      </c>
      <c r="C8" s="455"/>
      <c r="D8" s="456"/>
      <c r="E8" s="458">
        <f>B8+C8-D8</f>
        <v>124000</v>
      </c>
      <c r="F8" s="25"/>
      <c r="G8" s="25"/>
      <c r="H8" s="25"/>
      <c r="I8" s="25"/>
      <c r="J8" s="25"/>
      <c r="K8" s="25"/>
    </row>
    <row r="9" spans="1:15">
      <c r="A9" s="283" t="s">
        <v>430</v>
      </c>
      <c r="B9" s="454"/>
      <c r="C9" s="455"/>
      <c r="D9" s="456"/>
      <c r="E9" s="458"/>
      <c r="F9" s="25"/>
      <c r="G9" s="25"/>
      <c r="H9" s="25"/>
      <c r="I9" s="25"/>
      <c r="J9" s="25"/>
      <c r="K9" s="25"/>
    </row>
    <row r="10" spans="1:15">
      <c r="A10" s="453" t="s">
        <v>431</v>
      </c>
      <c r="B10" s="454">
        <v>17500</v>
      </c>
      <c r="C10" s="455"/>
      <c r="D10" s="456"/>
      <c r="E10" s="458">
        <f t="shared" ref="E10:E20" si="0">B10+C10-D10</f>
        <v>17500</v>
      </c>
      <c r="F10" s="25"/>
      <c r="G10" s="25"/>
      <c r="H10" s="25"/>
      <c r="I10" s="25"/>
      <c r="J10" s="25"/>
      <c r="K10" s="25"/>
    </row>
    <row r="11" spans="1:15">
      <c r="A11" s="283" t="s">
        <v>74</v>
      </c>
      <c r="B11" s="32"/>
      <c r="C11" s="285"/>
      <c r="D11" s="33"/>
      <c r="E11" s="458"/>
      <c r="F11" s="25"/>
      <c r="G11" s="25"/>
      <c r="H11" s="25"/>
      <c r="I11" s="25"/>
      <c r="J11" s="25"/>
      <c r="K11" s="25"/>
    </row>
    <row r="12" spans="1:15">
      <c r="A12" s="284" t="s">
        <v>137</v>
      </c>
      <c r="B12" s="33">
        <v>117944</v>
      </c>
      <c r="C12" s="285"/>
      <c r="D12" s="33"/>
      <c r="E12" s="458">
        <f t="shared" si="0"/>
        <v>117944</v>
      </c>
      <c r="F12" s="17"/>
      <c r="G12" s="17"/>
      <c r="H12" s="17"/>
      <c r="I12" s="17"/>
      <c r="J12" s="17"/>
      <c r="K12" s="17"/>
      <c r="L12" s="17"/>
      <c r="M12" s="17"/>
      <c r="N12" s="23"/>
      <c r="O12" s="23"/>
    </row>
    <row r="13" spans="1:15">
      <c r="A13" s="31" t="s">
        <v>138</v>
      </c>
      <c r="B13" s="32"/>
      <c r="C13" s="33"/>
      <c r="D13" s="285"/>
      <c r="E13" s="458"/>
    </row>
    <row r="14" spans="1:15">
      <c r="A14" s="284" t="s">
        <v>139</v>
      </c>
      <c r="B14" s="285">
        <v>90500</v>
      </c>
      <c r="C14" s="33"/>
      <c r="D14" s="33"/>
      <c r="E14" s="458">
        <f t="shared" si="0"/>
        <v>90500</v>
      </c>
      <c r="N14" s="23"/>
    </row>
    <row r="15" spans="1:15">
      <c r="A15" s="327" t="s">
        <v>75</v>
      </c>
      <c r="B15" s="285"/>
      <c r="C15" s="32"/>
      <c r="D15" s="33"/>
      <c r="E15" s="458"/>
      <c r="N15" s="23"/>
    </row>
    <row r="16" spans="1:15">
      <c r="A16" s="16" t="s">
        <v>140</v>
      </c>
      <c r="B16" s="285">
        <v>700</v>
      </c>
      <c r="C16" s="33"/>
      <c r="D16" s="33"/>
      <c r="E16" s="458">
        <f t="shared" si="0"/>
        <v>700</v>
      </c>
    </row>
    <row r="17" spans="1:7">
      <c r="A17" s="16" t="s">
        <v>358</v>
      </c>
      <c r="B17" s="285">
        <v>51000</v>
      </c>
      <c r="C17" s="33"/>
      <c r="D17" s="33"/>
      <c r="E17" s="458">
        <f t="shared" si="0"/>
        <v>51000</v>
      </c>
    </row>
    <row r="18" spans="1:7">
      <c r="A18" s="16" t="s">
        <v>429</v>
      </c>
      <c r="B18" s="285">
        <v>235070.07999999999</v>
      </c>
      <c r="C18" s="33"/>
      <c r="D18" s="243"/>
      <c r="E18" s="458">
        <f t="shared" si="0"/>
        <v>235070.07999999999</v>
      </c>
    </row>
    <row r="19" spans="1:7">
      <c r="A19" s="327" t="s">
        <v>350</v>
      </c>
      <c r="B19" s="285"/>
      <c r="C19" s="33"/>
      <c r="D19" s="33"/>
      <c r="E19" s="458"/>
    </row>
    <row r="20" spans="1:7">
      <c r="A20" s="16" t="s">
        <v>432</v>
      </c>
      <c r="B20" s="285">
        <v>2993000</v>
      </c>
      <c r="C20" s="33"/>
      <c r="D20" s="33"/>
      <c r="E20" s="458">
        <f t="shared" si="0"/>
        <v>2993000</v>
      </c>
    </row>
    <row r="21" spans="1:7" ht="24" thickBot="1">
      <c r="A21" s="7" t="s">
        <v>41</v>
      </c>
      <c r="B21" s="36">
        <f>SUM(B8:B20)</f>
        <v>3629714.08</v>
      </c>
      <c r="C21" s="36">
        <f>SUM(C7:C20)</f>
        <v>0</v>
      </c>
      <c r="D21" s="36">
        <f>SUM(D11:D20)</f>
        <v>0</v>
      </c>
      <c r="E21" s="36">
        <f>SUM(E7:E20)</f>
        <v>3629714.08</v>
      </c>
      <c r="F21" s="23"/>
    </row>
    <row r="22" spans="1:7" ht="24" thickTop="1">
      <c r="G22" s="23"/>
    </row>
    <row r="23" spans="1:7">
      <c r="G23" s="23"/>
    </row>
    <row r="32" spans="1:7" ht="26.25">
      <c r="A32" s="575"/>
      <c r="B32" s="575"/>
      <c r="C32" s="575"/>
      <c r="D32" s="575"/>
      <c r="E32" s="575"/>
      <c r="F32" s="575"/>
    </row>
    <row r="33" spans="1:6" ht="26.25">
      <c r="A33" s="575"/>
      <c r="B33" s="575"/>
      <c r="C33" s="575"/>
      <c r="D33" s="575"/>
      <c r="E33" s="575"/>
      <c r="F33" s="575"/>
    </row>
    <row r="34" spans="1:6" ht="26.25">
      <c r="A34" s="575"/>
      <c r="B34" s="575"/>
      <c r="C34" s="575"/>
      <c r="D34" s="575"/>
      <c r="E34" s="575"/>
      <c r="F34" s="575"/>
    </row>
    <row r="35" spans="1:6">
      <c r="A35" s="27"/>
      <c r="B35" s="27"/>
      <c r="C35" s="27"/>
      <c r="D35" s="27"/>
      <c r="E35" s="27"/>
      <c r="F35" s="12"/>
    </row>
    <row r="36" spans="1:6">
      <c r="A36" s="573"/>
      <c r="B36" s="576"/>
      <c r="C36" s="576"/>
      <c r="D36" s="577"/>
      <c r="E36" s="578"/>
      <c r="F36" s="573"/>
    </row>
    <row r="37" spans="1:6">
      <c r="A37" s="573"/>
      <c r="B37" s="78"/>
      <c r="C37" s="79"/>
      <c r="D37" s="574"/>
      <c r="E37" s="574"/>
      <c r="F37" s="574"/>
    </row>
    <row r="38" spans="1:6">
      <c r="A38" s="80"/>
      <c r="B38" s="42"/>
      <c r="C38" s="81"/>
      <c r="D38" s="43"/>
      <c r="E38" s="43"/>
      <c r="F38" s="12"/>
    </row>
    <row r="39" spans="1:6">
      <c r="A39" s="82"/>
      <c r="B39" s="29"/>
      <c r="C39" s="29"/>
      <c r="D39" s="44"/>
      <c r="E39" s="83"/>
      <c r="F39" s="12"/>
    </row>
    <row r="40" spans="1:6">
      <c r="A40" s="84"/>
      <c r="B40" s="28"/>
      <c r="C40" s="29"/>
      <c r="D40" s="29"/>
      <c r="E40" s="29"/>
      <c r="F40" s="12"/>
    </row>
    <row r="41" spans="1:6">
      <c r="A41" s="85"/>
      <c r="B41" s="28"/>
      <c r="C41" s="29"/>
      <c r="D41" s="29"/>
      <c r="E41" s="29"/>
      <c r="F41" s="12"/>
    </row>
    <row r="42" spans="1:6">
      <c r="A42" s="27"/>
      <c r="B42" s="28"/>
      <c r="C42" s="29"/>
      <c r="D42" s="29"/>
      <c r="E42" s="29"/>
      <c r="F42" s="12"/>
    </row>
    <row r="43" spans="1:6">
      <c r="A43" s="27"/>
      <c r="B43" s="29"/>
      <c r="C43" s="29"/>
      <c r="D43" s="29"/>
      <c r="E43" s="29"/>
      <c r="F43" s="12"/>
    </row>
    <row r="44" spans="1:6">
      <c r="A44" s="27"/>
      <c r="B44" s="29"/>
      <c r="C44" s="29"/>
      <c r="D44" s="29"/>
      <c r="E44" s="29"/>
      <c r="F44" s="12"/>
    </row>
    <row r="45" spans="1:6">
      <c r="A45" s="27"/>
      <c r="B45" s="29"/>
      <c r="C45" s="86"/>
      <c r="D45" s="29"/>
      <c r="E45" s="28"/>
      <c r="F45" s="12"/>
    </row>
    <row r="46" spans="1:6">
      <c r="A46" s="27"/>
      <c r="B46" s="29"/>
      <c r="C46" s="29"/>
      <c r="D46" s="29"/>
      <c r="E46" s="29"/>
      <c r="F46" s="12"/>
    </row>
    <row r="47" spans="1:6">
      <c r="A47" s="87"/>
      <c r="B47" s="29"/>
      <c r="C47" s="28"/>
      <c r="D47" s="29"/>
      <c r="E47" s="29"/>
      <c r="F47" s="12"/>
    </row>
    <row r="48" spans="1:6">
      <c r="A48" s="27"/>
      <c r="B48" s="29"/>
      <c r="C48" s="29"/>
      <c r="D48" s="29"/>
      <c r="E48" s="29"/>
      <c r="F48" s="12"/>
    </row>
    <row r="49" spans="1:6">
      <c r="A49" s="14"/>
      <c r="B49" s="29"/>
      <c r="C49" s="29"/>
      <c r="D49" s="29"/>
      <c r="E49" s="29"/>
      <c r="F49" s="12"/>
    </row>
    <row r="50" spans="1:6">
      <c r="A50" s="27"/>
      <c r="B50" s="29"/>
      <c r="C50" s="28"/>
      <c r="D50" s="29"/>
      <c r="E50" s="29"/>
    </row>
    <row r="51" spans="1:6">
      <c r="A51" s="27"/>
      <c r="B51" s="29"/>
      <c r="C51" s="29"/>
      <c r="D51" s="29"/>
      <c r="E51" s="29"/>
    </row>
    <row r="52" spans="1:6">
      <c r="A52" s="9"/>
      <c r="B52" s="30"/>
      <c r="C52" s="30"/>
      <c r="D52" s="30"/>
      <c r="E52" s="30"/>
    </row>
    <row r="53" spans="1:6">
      <c r="A53" s="9"/>
      <c r="B53" s="30"/>
      <c r="C53" s="30"/>
      <c r="D53" s="30"/>
      <c r="E53" s="30"/>
    </row>
    <row r="54" spans="1:6">
      <c r="A54" s="24"/>
      <c r="B54" s="25"/>
      <c r="C54" s="25"/>
      <c r="D54" s="25"/>
      <c r="E54" s="25"/>
    </row>
    <row r="55" spans="1:6">
      <c r="A55" s="24"/>
      <c r="B55" s="25"/>
      <c r="C55" s="26"/>
      <c r="D55" s="25"/>
      <c r="E55" s="26"/>
    </row>
    <row r="56" spans="1:6">
      <c r="A56" s="24"/>
      <c r="B56" s="25"/>
      <c r="C56" s="26"/>
      <c r="D56" s="25"/>
      <c r="E56" s="26"/>
    </row>
    <row r="57" spans="1:6">
      <c r="A57" s="9"/>
      <c r="B57" s="9"/>
      <c r="C57" s="9"/>
      <c r="D57" s="9"/>
      <c r="E57" s="9"/>
    </row>
  </sheetData>
  <mergeCells count="14">
    <mergeCell ref="F36:F37"/>
    <mergeCell ref="A32:F32"/>
    <mergeCell ref="A33:F33"/>
    <mergeCell ref="A34:F34"/>
    <mergeCell ref="A36:A37"/>
    <mergeCell ref="B36:C36"/>
    <mergeCell ref="D36:D37"/>
    <mergeCell ref="E36:E37"/>
    <mergeCell ref="A2:E2"/>
    <mergeCell ref="A3:E3"/>
    <mergeCell ref="A5:A6"/>
    <mergeCell ref="B5:C5"/>
    <mergeCell ref="D5:D6"/>
    <mergeCell ref="E5:E6"/>
  </mergeCells>
  <phoneticPr fontId="3" type="noConversion"/>
  <pageMargins left="0.59" right="0.17" top="0.25" bottom="0.21" header="0.2" footer="0.18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02"/>
  <sheetViews>
    <sheetView view="pageBreakPreview" zoomScale="130" zoomScaleNormal="140" zoomScaleSheetLayoutView="130" workbookViewId="0">
      <pane ySplit="5" topLeftCell="A6" activePane="bottomLeft" state="frozen"/>
      <selection pane="bottomLeft" activeCell="E8" sqref="E8"/>
    </sheetView>
  </sheetViews>
  <sheetFormatPr defaultRowHeight="21"/>
  <cols>
    <col min="1" max="1" width="11" style="10" customWidth="1"/>
    <col min="2" max="2" width="8" style="10" customWidth="1"/>
    <col min="3" max="3" width="7.85546875" style="10" customWidth="1"/>
    <col min="4" max="4" width="8.7109375" style="10" customWidth="1"/>
    <col min="5" max="5" width="11" style="10" customWidth="1"/>
    <col min="6" max="6" width="8.42578125" style="10" customWidth="1"/>
    <col min="7" max="7" width="9.42578125" style="10" customWidth="1"/>
    <col min="8" max="8" width="11.42578125" style="10" customWidth="1"/>
    <col min="9" max="9" width="7.85546875" style="10" customWidth="1"/>
    <col min="10" max="10" width="9.85546875" style="10" bestFit="1" customWidth="1"/>
    <col min="11" max="11" width="9" style="10" customWidth="1"/>
    <col min="12" max="12" width="5" style="10" customWidth="1"/>
    <col min="13" max="13" width="9.28515625" style="10" customWidth="1"/>
    <col min="14" max="14" width="7.42578125" style="10" customWidth="1"/>
    <col min="15" max="15" width="9.140625" style="10" customWidth="1"/>
    <col min="16" max="16384" width="9.140625" style="10"/>
  </cols>
  <sheetData>
    <row r="1" spans="1:15">
      <c r="A1" s="535" t="s">
        <v>250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</row>
    <row r="2" spans="1:15">
      <c r="A2" s="535" t="s">
        <v>128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</row>
    <row r="3" spans="1:15">
      <c r="A3" s="535" t="s">
        <v>435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</row>
    <row r="4" spans="1:15">
      <c r="A4" s="329" t="s">
        <v>70</v>
      </c>
      <c r="B4" s="189" t="s">
        <v>4</v>
      </c>
      <c r="C4" s="579" t="s">
        <v>104</v>
      </c>
      <c r="D4" s="579"/>
      <c r="E4" s="461" t="s">
        <v>107</v>
      </c>
      <c r="F4" s="190" t="s">
        <v>109</v>
      </c>
      <c r="G4" s="191" t="s">
        <v>111</v>
      </c>
      <c r="H4" s="192" t="s">
        <v>113</v>
      </c>
      <c r="I4" s="580" t="s">
        <v>115</v>
      </c>
      <c r="J4" s="581"/>
      <c r="K4" s="193" t="s">
        <v>117</v>
      </c>
      <c r="L4" s="582" t="s">
        <v>118</v>
      </c>
      <c r="M4" s="583"/>
      <c r="N4" s="194" t="s">
        <v>120</v>
      </c>
      <c r="O4" s="584" t="s">
        <v>41</v>
      </c>
    </row>
    <row r="5" spans="1:15">
      <c r="A5" s="330" t="s">
        <v>71</v>
      </c>
      <c r="B5" s="195" t="s">
        <v>4</v>
      </c>
      <c r="C5" s="196" t="s">
        <v>105</v>
      </c>
      <c r="D5" s="197" t="s">
        <v>106</v>
      </c>
      <c r="E5" s="462" t="s">
        <v>108</v>
      </c>
      <c r="F5" s="199" t="s">
        <v>110</v>
      </c>
      <c r="G5" s="200" t="s">
        <v>112</v>
      </c>
      <c r="H5" s="201" t="s">
        <v>114</v>
      </c>
      <c r="I5" s="202" t="s">
        <v>105</v>
      </c>
      <c r="J5" s="203" t="s">
        <v>116</v>
      </c>
      <c r="K5" s="204" t="s">
        <v>105</v>
      </c>
      <c r="L5" s="205" t="s">
        <v>119</v>
      </c>
      <c r="M5" s="206" t="s">
        <v>118</v>
      </c>
      <c r="N5" s="207" t="s">
        <v>121</v>
      </c>
      <c r="O5" s="585"/>
    </row>
    <row r="6" spans="1:15">
      <c r="A6" s="296" t="s">
        <v>219</v>
      </c>
      <c r="B6" s="185"/>
      <c r="C6" s="185"/>
      <c r="D6" s="197"/>
      <c r="E6" s="198"/>
      <c r="F6" s="199"/>
      <c r="G6" s="200"/>
      <c r="H6" s="201"/>
      <c r="I6" s="202"/>
      <c r="J6" s="203"/>
      <c r="K6" s="204"/>
      <c r="L6" s="205"/>
      <c r="M6" s="206"/>
      <c r="N6" s="207"/>
      <c r="O6" s="234">
        <f t="shared" ref="O6:O17" si="0">SUM(B6:N6)</f>
        <v>0</v>
      </c>
    </row>
    <row r="7" spans="1:15">
      <c r="A7" s="244" t="s">
        <v>42</v>
      </c>
      <c r="B7" s="185">
        <f>SUM(B6)</f>
        <v>0</v>
      </c>
      <c r="C7" s="244"/>
      <c r="D7" s="197"/>
      <c r="E7" s="198"/>
      <c r="F7" s="199"/>
      <c r="G7" s="200"/>
      <c r="H7" s="201"/>
      <c r="I7" s="202"/>
      <c r="J7" s="203"/>
      <c r="K7" s="204"/>
      <c r="L7" s="205"/>
      <c r="M7" s="206"/>
      <c r="N7" s="207"/>
      <c r="O7" s="234">
        <f t="shared" si="0"/>
        <v>0</v>
      </c>
    </row>
    <row r="8" spans="1:15">
      <c r="A8" s="244" t="s">
        <v>43</v>
      </c>
      <c r="B8" s="185">
        <f>39980+7996+119820</f>
        <v>167796</v>
      </c>
      <c r="C8" s="244"/>
      <c r="D8" s="197"/>
      <c r="E8" s="198"/>
      <c r="F8" s="199"/>
      <c r="G8" s="200"/>
      <c r="H8" s="201"/>
      <c r="I8" s="202"/>
      <c r="J8" s="203"/>
      <c r="K8" s="204"/>
      <c r="L8" s="205"/>
      <c r="M8" s="206"/>
      <c r="N8" s="207"/>
      <c r="O8" s="234">
        <f t="shared" si="0"/>
        <v>167796</v>
      </c>
    </row>
    <row r="9" spans="1:15">
      <c r="A9" s="244" t="s">
        <v>361</v>
      </c>
      <c r="B9" s="185"/>
      <c r="C9" s="244"/>
      <c r="D9" s="197"/>
      <c r="E9" s="198"/>
      <c r="F9" s="199"/>
      <c r="G9" s="200"/>
      <c r="H9" s="201"/>
      <c r="I9" s="202"/>
      <c r="J9" s="203"/>
      <c r="K9" s="204"/>
      <c r="L9" s="205"/>
      <c r="M9" s="206"/>
      <c r="N9" s="207"/>
      <c r="O9" s="234">
        <f t="shared" si="0"/>
        <v>0</v>
      </c>
    </row>
    <row r="10" spans="1:15">
      <c r="A10" s="244" t="s">
        <v>42</v>
      </c>
      <c r="B10" s="185">
        <f>SUM(B9)</f>
        <v>0</v>
      </c>
      <c r="C10" s="244"/>
      <c r="D10" s="197"/>
      <c r="E10" s="198"/>
      <c r="F10" s="199"/>
      <c r="G10" s="200"/>
      <c r="H10" s="201"/>
      <c r="I10" s="202"/>
      <c r="J10" s="203"/>
      <c r="K10" s="204"/>
      <c r="L10" s="205"/>
      <c r="M10" s="206"/>
      <c r="N10" s="207"/>
      <c r="O10" s="234">
        <f t="shared" si="0"/>
        <v>0</v>
      </c>
    </row>
    <row r="11" spans="1:15">
      <c r="A11" s="244" t="s">
        <v>43</v>
      </c>
      <c r="B11" s="185">
        <v>4072.75</v>
      </c>
      <c r="C11" s="244"/>
      <c r="D11" s="197"/>
      <c r="E11" s="198"/>
      <c r="F11" s="199"/>
      <c r="G11" s="200"/>
      <c r="H11" s="201"/>
      <c r="I11" s="202"/>
      <c r="J11" s="203"/>
      <c r="K11" s="204"/>
      <c r="L11" s="205"/>
      <c r="M11" s="206"/>
      <c r="N11" s="207"/>
      <c r="O11" s="234">
        <f t="shared" si="0"/>
        <v>4072.75</v>
      </c>
    </row>
    <row r="12" spans="1:15">
      <c r="A12" s="244" t="s">
        <v>193</v>
      </c>
      <c r="B12" s="185"/>
      <c r="C12" s="244"/>
      <c r="D12" s="197"/>
      <c r="E12" s="198"/>
      <c r="F12" s="199"/>
      <c r="G12" s="200"/>
      <c r="H12" s="201"/>
      <c r="I12" s="185"/>
      <c r="J12" s="203"/>
      <c r="K12" s="204"/>
      <c r="L12" s="205"/>
      <c r="M12" s="206"/>
      <c r="N12" s="207"/>
      <c r="O12" s="234">
        <f>SUM(B12:N12)</f>
        <v>0</v>
      </c>
    </row>
    <row r="13" spans="1:15">
      <c r="A13" s="244" t="s">
        <v>42</v>
      </c>
      <c r="B13" s="185"/>
      <c r="C13" s="244"/>
      <c r="D13" s="197"/>
      <c r="E13" s="198"/>
      <c r="F13" s="199"/>
      <c r="G13" s="200"/>
      <c r="H13" s="201"/>
      <c r="I13" s="185">
        <f>SUM(I12)</f>
        <v>0</v>
      </c>
      <c r="J13" s="203"/>
      <c r="K13" s="204"/>
      <c r="L13" s="205"/>
      <c r="M13" s="206"/>
      <c r="N13" s="207"/>
      <c r="O13" s="234">
        <f>SUM(B13:N13)</f>
        <v>0</v>
      </c>
    </row>
    <row r="14" spans="1:15">
      <c r="A14" s="244" t="s">
        <v>43</v>
      </c>
      <c r="B14" s="185"/>
      <c r="C14" s="244"/>
      <c r="D14" s="197"/>
      <c r="E14" s="198"/>
      <c r="F14" s="199"/>
      <c r="G14" s="200"/>
      <c r="H14" s="201"/>
      <c r="I14" s="185">
        <v>81454.84</v>
      </c>
      <c r="J14" s="203"/>
      <c r="K14" s="204"/>
      <c r="L14" s="205"/>
      <c r="M14" s="206"/>
      <c r="N14" s="207"/>
      <c r="O14" s="234">
        <f>SUM(B14:N14)</f>
        <v>81454.84</v>
      </c>
    </row>
    <row r="15" spans="1:15">
      <c r="A15" s="244" t="s">
        <v>220</v>
      </c>
      <c r="B15" s="185"/>
      <c r="C15" s="196"/>
      <c r="D15" s="197"/>
      <c r="E15" s="198"/>
      <c r="F15" s="199"/>
      <c r="G15" s="200"/>
      <c r="H15" s="201"/>
      <c r="I15" s="233">
        <v>19410</v>
      </c>
      <c r="J15" s="203"/>
      <c r="K15" s="204"/>
      <c r="L15" s="205"/>
      <c r="M15" s="206"/>
      <c r="N15" s="207"/>
      <c r="O15" s="234">
        <f t="shared" si="0"/>
        <v>19410</v>
      </c>
    </row>
    <row r="16" spans="1:15">
      <c r="A16" s="244" t="s">
        <v>42</v>
      </c>
      <c r="B16" s="185"/>
      <c r="C16" s="196"/>
      <c r="D16" s="197"/>
      <c r="E16" s="198"/>
      <c r="F16" s="199"/>
      <c r="G16" s="200"/>
      <c r="H16" s="201"/>
      <c r="I16" s="233">
        <v>19410</v>
      </c>
      <c r="J16" s="203"/>
      <c r="K16" s="204"/>
      <c r="L16" s="205"/>
      <c r="M16" s="206"/>
      <c r="N16" s="207"/>
      <c r="O16" s="234">
        <f t="shared" si="0"/>
        <v>19410</v>
      </c>
    </row>
    <row r="17" spans="1:15">
      <c r="A17" s="244" t="s">
        <v>43</v>
      </c>
      <c r="B17" s="185"/>
      <c r="C17" s="196"/>
      <c r="D17" s="197"/>
      <c r="E17" s="198"/>
      <c r="F17" s="199"/>
      <c r="G17" s="200"/>
      <c r="H17" s="201"/>
      <c r="I17" s="485">
        <f>172830+19410+19410+19410</f>
        <v>231060</v>
      </c>
      <c r="J17" s="203"/>
      <c r="K17" s="204"/>
      <c r="L17" s="205"/>
      <c r="M17" s="206"/>
      <c r="N17" s="207"/>
      <c r="O17" s="234">
        <f t="shared" si="0"/>
        <v>231060</v>
      </c>
    </row>
    <row r="18" spans="1:15">
      <c r="A18" s="244" t="s">
        <v>5</v>
      </c>
      <c r="B18" s="185"/>
      <c r="C18" s="185"/>
      <c r="D18" s="185">
        <v>90</v>
      </c>
      <c r="E18" s="469"/>
      <c r="F18" s="470"/>
      <c r="G18" s="469"/>
      <c r="H18" s="470"/>
      <c r="I18" s="185">
        <v>4800</v>
      </c>
      <c r="J18" s="185"/>
      <c r="K18" s="185"/>
      <c r="L18" s="185"/>
      <c r="M18" s="470"/>
      <c r="N18" s="469"/>
      <c r="O18" s="471">
        <f t="shared" ref="O18:O28" si="1">SUM(B18:N18)</f>
        <v>4890</v>
      </c>
    </row>
    <row r="19" spans="1:15">
      <c r="A19" s="244" t="s">
        <v>42</v>
      </c>
      <c r="B19" s="185"/>
      <c r="C19" s="185">
        <f>SUM(C18)</f>
        <v>0</v>
      </c>
      <c r="D19" s="185">
        <f>SUM(D18)</f>
        <v>90</v>
      </c>
      <c r="E19" s="469"/>
      <c r="F19" s="470"/>
      <c r="G19" s="469"/>
      <c r="H19" s="470"/>
      <c r="I19" s="185">
        <f>SUM(I18)</f>
        <v>4800</v>
      </c>
      <c r="J19" s="185"/>
      <c r="K19" s="185"/>
      <c r="L19" s="185"/>
      <c r="M19" s="470"/>
      <c r="N19" s="469"/>
      <c r="O19" s="471">
        <f t="shared" si="1"/>
        <v>4890</v>
      </c>
    </row>
    <row r="20" spans="1:15">
      <c r="A20" s="244" t="s">
        <v>43</v>
      </c>
      <c r="B20" s="185"/>
      <c r="C20" s="185">
        <f>2440+300</f>
        <v>2740</v>
      </c>
      <c r="D20" s="185">
        <f>630+404+90</f>
        <v>1124</v>
      </c>
      <c r="E20" s="469"/>
      <c r="F20" s="470"/>
      <c r="G20" s="469"/>
      <c r="H20" s="470"/>
      <c r="I20" s="185">
        <f>7200+4800</f>
        <v>12000</v>
      </c>
      <c r="J20" s="185"/>
      <c r="K20" s="185"/>
      <c r="L20" s="185"/>
      <c r="M20" s="470"/>
      <c r="N20" s="469"/>
      <c r="O20" s="471">
        <f t="shared" si="1"/>
        <v>15864</v>
      </c>
    </row>
    <row r="21" spans="1:15">
      <c r="A21" s="244" t="s">
        <v>6</v>
      </c>
      <c r="B21" s="185"/>
      <c r="C21" s="185"/>
      <c r="D21" s="185"/>
      <c r="E21" s="469"/>
      <c r="F21" s="470"/>
      <c r="G21" s="469"/>
      <c r="H21" s="470"/>
      <c r="I21" s="185"/>
      <c r="J21" s="185"/>
      <c r="K21" s="185"/>
      <c r="L21" s="185"/>
      <c r="M21" s="470"/>
      <c r="N21" s="469"/>
      <c r="O21" s="471">
        <f>SUM(B21:N21)</f>
        <v>0</v>
      </c>
    </row>
    <row r="22" spans="1:15">
      <c r="A22" s="244" t="s">
        <v>42</v>
      </c>
      <c r="B22" s="185"/>
      <c r="C22" s="185"/>
      <c r="D22" s="185"/>
      <c r="E22" s="469"/>
      <c r="F22" s="470"/>
      <c r="G22" s="469"/>
      <c r="H22" s="470"/>
      <c r="I22" s="185"/>
      <c r="J22" s="185"/>
      <c r="K22" s="185"/>
      <c r="L22" s="185"/>
      <c r="M22" s="470"/>
      <c r="N22" s="469"/>
      <c r="O22" s="471">
        <f>SUM(B22:N22)</f>
        <v>0</v>
      </c>
    </row>
    <row r="23" spans="1:15">
      <c r="A23" s="244" t="s">
        <v>43</v>
      </c>
      <c r="B23" s="185"/>
      <c r="C23" s="185"/>
      <c r="D23" s="185"/>
      <c r="E23" s="469"/>
      <c r="F23" s="470"/>
      <c r="G23" s="469"/>
      <c r="H23" s="470">
        <v>40000</v>
      </c>
      <c r="I23" s="185"/>
      <c r="J23" s="185"/>
      <c r="K23" s="185"/>
      <c r="L23" s="185"/>
      <c r="M23" s="470"/>
      <c r="N23" s="469"/>
      <c r="O23" s="471">
        <f>SUM(B23:N23)</f>
        <v>40000</v>
      </c>
    </row>
    <row r="24" spans="1:15">
      <c r="A24" s="487" t="s">
        <v>398</v>
      </c>
      <c r="B24" s="185"/>
      <c r="C24" s="185"/>
      <c r="D24" s="185"/>
      <c r="E24" s="469"/>
      <c r="F24" s="470"/>
      <c r="G24" s="469"/>
      <c r="H24" s="470"/>
      <c r="I24" s="185"/>
      <c r="J24" s="185"/>
      <c r="K24" s="185"/>
      <c r="L24" s="185"/>
      <c r="M24" s="470"/>
      <c r="N24" s="488"/>
      <c r="O24" s="471">
        <f t="shared" si="1"/>
        <v>0</v>
      </c>
    </row>
    <row r="25" spans="1:15">
      <c r="A25" s="244" t="s">
        <v>42</v>
      </c>
      <c r="B25" s="185"/>
      <c r="C25" s="185"/>
      <c r="D25" s="185"/>
      <c r="E25" s="469"/>
      <c r="F25" s="470"/>
      <c r="G25" s="469"/>
      <c r="H25" s="470"/>
      <c r="I25" s="185"/>
      <c r="J25" s="185"/>
      <c r="K25" s="185"/>
      <c r="L25" s="185"/>
      <c r="M25" s="470"/>
      <c r="N25" s="488">
        <f>SUM(N24)</f>
        <v>0</v>
      </c>
      <c r="O25" s="471">
        <f t="shared" si="1"/>
        <v>0</v>
      </c>
    </row>
    <row r="26" spans="1:15">
      <c r="A26" s="244" t="s">
        <v>43</v>
      </c>
      <c r="B26" s="185"/>
      <c r="C26" s="185"/>
      <c r="D26" s="185"/>
      <c r="E26" s="469"/>
      <c r="F26" s="470"/>
      <c r="G26" s="469"/>
      <c r="H26" s="470"/>
      <c r="I26" s="185"/>
      <c r="J26" s="185"/>
      <c r="K26" s="185"/>
      <c r="L26" s="185"/>
      <c r="M26" s="470"/>
      <c r="N26" s="488">
        <f>1136352+1854048</f>
        <v>2990400</v>
      </c>
      <c r="O26" s="471">
        <f t="shared" si="1"/>
        <v>2990400</v>
      </c>
    </row>
    <row r="27" spans="1:15">
      <c r="A27" s="244" t="s">
        <v>42</v>
      </c>
      <c r="B27" s="185">
        <f>B7+B10+B13+B16+B19+B25</f>
        <v>0</v>
      </c>
      <c r="C27" s="185">
        <f t="shared" ref="C27:N27" si="2">C7+C10+C13+C16+C19+C25</f>
        <v>0</v>
      </c>
      <c r="D27" s="185">
        <f t="shared" si="2"/>
        <v>90</v>
      </c>
      <c r="E27" s="185">
        <f t="shared" si="2"/>
        <v>0</v>
      </c>
      <c r="F27" s="185">
        <f t="shared" si="2"/>
        <v>0</v>
      </c>
      <c r="G27" s="185">
        <f t="shared" si="2"/>
        <v>0</v>
      </c>
      <c r="H27" s="185">
        <f>H7+H10+H13+H16+H19+H22+H25</f>
        <v>0</v>
      </c>
      <c r="I27" s="185">
        <f t="shared" si="2"/>
        <v>24210</v>
      </c>
      <c r="J27" s="185">
        <f t="shared" si="2"/>
        <v>0</v>
      </c>
      <c r="K27" s="185">
        <f t="shared" si="2"/>
        <v>0</v>
      </c>
      <c r="L27" s="185">
        <f t="shared" si="2"/>
        <v>0</v>
      </c>
      <c r="M27" s="185">
        <f t="shared" si="2"/>
        <v>0</v>
      </c>
      <c r="N27" s="233">
        <f t="shared" si="2"/>
        <v>0</v>
      </c>
      <c r="O27" s="185">
        <f t="shared" si="1"/>
        <v>24300</v>
      </c>
    </row>
    <row r="28" spans="1:15">
      <c r="A28" s="244" t="s">
        <v>43</v>
      </c>
      <c r="B28" s="185">
        <f>B8+B11+B14+B17+B20+B26</f>
        <v>171868.75</v>
      </c>
      <c r="C28" s="185">
        <f t="shared" ref="C28:N28" si="3">C8+C11+C14+C17+C20+C26</f>
        <v>2740</v>
      </c>
      <c r="D28" s="185">
        <f t="shared" si="3"/>
        <v>1124</v>
      </c>
      <c r="E28" s="185">
        <f t="shared" si="3"/>
        <v>0</v>
      </c>
      <c r="F28" s="185">
        <f t="shared" si="3"/>
        <v>0</v>
      </c>
      <c r="G28" s="185">
        <f t="shared" si="3"/>
        <v>0</v>
      </c>
      <c r="H28" s="185">
        <f>H8+H11+H14+H17+H20+H23+H26</f>
        <v>40000</v>
      </c>
      <c r="I28" s="185">
        <f t="shared" si="3"/>
        <v>324514.83999999997</v>
      </c>
      <c r="J28" s="185">
        <f t="shared" si="3"/>
        <v>0</v>
      </c>
      <c r="K28" s="185">
        <f t="shared" si="3"/>
        <v>0</v>
      </c>
      <c r="L28" s="185">
        <f t="shared" si="3"/>
        <v>0</v>
      </c>
      <c r="M28" s="185">
        <f t="shared" si="3"/>
        <v>0</v>
      </c>
      <c r="N28" s="233">
        <f t="shared" si="3"/>
        <v>2990400</v>
      </c>
      <c r="O28" s="185">
        <f t="shared" si="1"/>
        <v>3530647.59</v>
      </c>
    </row>
    <row r="29" spans="1:15">
      <c r="A29" s="398"/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</row>
    <row r="30" spans="1:15">
      <c r="A30" s="398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</row>
    <row r="31" spans="1:1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</row>
    <row r="32" spans="1: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1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>
      <c r="A37" s="39"/>
      <c r="B37" s="382"/>
      <c r="C37" s="382"/>
      <c r="D37" s="383"/>
      <c r="E37" s="383"/>
      <c r="F37" s="382"/>
      <c r="G37" s="382"/>
      <c r="H37" s="239"/>
      <c r="I37" s="239"/>
      <c r="J37" s="239"/>
      <c r="K37" s="239"/>
      <c r="L37" s="239"/>
      <c r="M37" s="239"/>
      <c r="N37" s="239"/>
      <c r="O37" s="136"/>
    </row>
    <row r="38" spans="1:15">
      <c r="A38" s="39"/>
      <c r="B38" s="382"/>
      <c r="C38" s="382"/>
      <c r="D38" s="382"/>
      <c r="E38" s="382"/>
      <c r="F38" s="382"/>
      <c r="G38" s="382"/>
      <c r="H38" s="239"/>
      <c r="I38" s="239"/>
      <c r="J38" s="239"/>
      <c r="K38" s="239"/>
      <c r="L38" s="239"/>
      <c r="M38" s="239"/>
      <c r="N38" s="239"/>
      <c r="O38" s="136"/>
    </row>
    <row r="39" spans="1:15">
      <c r="A39" s="39"/>
      <c r="B39" s="137"/>
      <c r="C39" s="39"/>
      <c r="D39" s="39"/>
      <c r="E39" s="39"/>
      <c r="F39" s="39"/>
      <c r="G39" s="39"/>
      <c r="H39" s="39"/>
      <c r="I39" s="239"/>
      <c r="J39" s="239"/>
      <c r="K39" s="239"/>
      <c r="L39" s="239"/>
      <c r="M39" s="239"/>
      <c r="N39" s="239"/>
      <c r="O39" s="136"/>
    </row>
    <row r="40" spans="1:15">
      <c r="A40" s="39"/>
      <c r="B40" s="39"/>
      <c r="C40" s="39"/>
      <c r="D40" s="39"/>
      <c r="E40" s="39"/>
      <c r="F40" s="39"/>
      <c r="G40" s="39"/>
      <c r="H40" s="39"/>
      <c r="I40" s="136"/>
      <c r="J40" s="136"/>
      <c r="K40" s="136"/>
      <c r="L40" s="136"/>
      <c r="M40" s="136"/>
      <c r="N40" s="136"/>
      <c r="O40" s="136"/>
    </row>
    <row r="41" spans="1: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1:1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1: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1:1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1: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1:1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1:1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1:1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1:1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1:1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1:1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1:1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</row>
    <row r="87" spans="1:1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1:1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</row>
    <row r="89" spans="1:1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</row>
    <row r="90" spans="1:1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1: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1:1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1: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1: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</row>
    <row r="96" spans="1:1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1: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</sheetData>
  <mergeCells count="7">
    <mergeCell ref="A1:O1"/>
    <mergeCell ref="A2:O2"/>
    <mergeCell ref="A3:O3"/>
    <mergeCell ref="C4:D4"/>
    <mergeCell ref="I4:J4"/>
    <mergeCell ref="L4:M4"/>
    <mergeCell ref="O4:O5"/>
  </mergeCells>
  <phoneticPr fontId="3" type="noConversion"/>
  <pageMargins left="0.41" right="0.31" top="0.16" bottom="0.18" header="0.13" footer="0.12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5"/>
  <sheetViews>
    <sheetView zoomScale="110" zoomScaleNormal="110" workbookViewId="0">
      <selection activeCell="C11" sqref="C11"/>
    </sheetView>
  </sheetViews>
  <sheetFormatPr defaultRowHeight="23.25"/>
  <cols>
    <col min="1" max="1" width="54" style="1" customWidth="1"/>
    <col min="2" max="2" width="16.5703125" style="1" customWidth="1"/>
    <col min="3" max="3" width="19.85546875" style="1" customWidth="1"/>
    <col min="4" max="5" width="10.5703125" style="1" bestFit="1" customWidth="1"/>
    <col min="6" max="6" width="11.42578125" style="1" customWidth="1"/>
    <col min="7" max="7" width="14.28515625" style="1" customWidth="1"/>
    <col min="8" max="8" width="9.42578125" style="1" bestFit="1" customWidth="1"/>
    <col min="9" max="9" width="18.28515625" style="1" customWidth="1"/>
    <col min="10" max="16384" width="9.140625" style="1"/>
  </cols>
  <sheetData>
    <row r="1" spans="1:9">
      <c r="A1" s="529" t="s">
        <v>251</v>
      </c>
      <c r="B1" s="529"/>
      <c r="C1" s="529"/>
    </row>
    <row r="2" spans="1:9">
      <c r="A2" s="529" t="s">
        <v>447</v>
      </c>
      <c r="B2" s="529"/>
      <c r="C2" s="529"/>
    </row>
    <row r="3" spans="1:9">
      <c r="A3" s="186"/>
      <c r="B3" s="186"/>
      <c r="C3" s="188" t="s">
        <v>123</v>
      </c>
    </row>
    <row r="4" spans="1:9">
      <c r="A4" s="186"/>
      <c r="B4" s="186"/>
      <c r="C4" s="186"/>
    </row>
    <row r="5" spans="1:9">
      <c r="A5" s="3" t="s">
        <v>18</v>
      </c>
      <c r="B5" s="3" t="s">
        <v>19</v>
      </c>
      <c r="C5" s="3" t="s">
        <v>43</v>
      </c>
    </row>
    <row r="6" spans="1:9">
      <c r="A6" s="5" t="s">
        <v>129</v>
      </c>
      <c r="B6" s="121"/>
      <c r="C6" s="121">
        <f>44052.75+7996+119820</f>
        <v>171868.75</v>
      </c>
      <c r="D6" s="133"/>
      <c r="E6" s="133"/>
      <c r="F6" s="133"/>
      <c r="G6" s="125"/>
      <c r="H6" s="133"/>
      <c r="I6" s="23"/>
    </row>
    <row r="7" spans="1:9">
      <c r="A7" s="5" t="s">
        <v>309</v>
      </c>
      <c r="B7" s="121">
        <v>19410</v>
      </c>
      <c r="C7" s="121">
        <f>172830+19410+19410+19410</f>
        <v>231060</v>
      </c>
      <c r="D7" s="133"/>
      <c r="E7" s="133"/>
      <c r="F7" s="133"/>
      <c r="G7" s="125"/>
      <c r="H7" s="133"/>
    </row>
    <row r="8" spans="1:9">
      <c r="A8" s="5" t="s">
        <v>385</v>
      </c>
      <c r="B8" s="121"/>
      <c r="C8" s="121">
        <v>81454.84</v>
      </c>
      <c r="D8" s="133"/>
      <c r="E8" s="133"/>
      <c r="F8" s="133"/>
      <c r="G8" s="125"/>
      <c r="H8" s="133"/>
    </row>
    <row r="9" spans="1:9">
      <c r="A9" s="5" t="s">
        <v>384</v>
      </c>
      <c r="B9" s="121">
        <f>90+4800</f>
        <v>4890</v>
      </c>
      <c r="C9" s="121">
        <f>10270+404+300+4890</f>
        <v>15864</v>
      </c>
      <c r="D9" s="133"/>
      <c r="E9" s="133"/>
      <c r="F9" s="133"/>
      <c r="G9" s="125"/>
      <c r="H9" s="133"/>
      <c r="I9" s="23"/>
    </row>
    <row r="10" spans="1:9">
      <c r="A10" s="5" t="s">
        <v>415</v>
      </c>
      <c r="B10" s="121"/>
      <c r="C10" s="121">
        <f>2500+37500</f>
        <v>40000</v>
      </c>
      <c r="D10" s="133"/>
      <c r="E10" s="133"/>
      <c r="F10" s="133"/>
      <c r="G10" s="125"/>
      <c r="H10" s="133"/>
      <c r="I10" s="23"/>
    </row>
    <row r="11" spans="1:9">
      <c r="A11" s="5" t="s">
        <v>399</v>
      </c>
      <c r="B11" s="121"/>
      <c r="C11" s="121">
        <f>1136352+1854048</f>
        <v>2990400</v>
      </c>
      <c r="D11" s="133"/>
      <c r="E11" s="133"/>
      <c r="F11" s="133"/>
      <c r="G11" s="125"/>
      <c r="H11" s="133"/>
      <c r="I11" s="23"/>
    </row>
    <row r="12" spans="1:9" ht="24" thickBot="1">
      <c r="A12" s="3" t="s">
        <v>41</v>
      </c>
      <c r="B12" s="208">
        <f>SUM(B6:B11)</f>
        <v>24300</v>
      </c>
      <c r="C12" s="208">
        <f>SUM(C6:C11)</f>
        <v>3530647.59</v>
      </c>
      <c r="D12" s="133"/>
      <c r="E12" s="133"/>
      <c r="F12" s="133"/>
      <c r="G12" s="223"/>
      <c r="H12" s="133"/>
    </row>
    <row r="13" spans="1:9" ht="24" thickTop="1">
      <c r="D13" s="133"/>
      <c r="E13" s="133"/>
      <c r="F13" s="133"/>
      <c r="G13" s="133"/>
      <c r="H13" s="133"/>
    </row>
    <row r="14" spans="1:9">
      <c r="D14" s="133"/>
      <c r="E14" s="133"/>
      <c r="F14" s="133"/>
      <c r="G14" s="133"/>
      <c r="H14" s="133"/>
    </row>
    <row r="15" spans="1:9">
      <c r="C15" s="17"/>
      <c r="D15" s="133"/>
      <c r="E15" s="133"/>
      <c r="F15" s="133"/>
      <c r="G15" s="133"/>
      <c r="H15" s="133"/>
    </row>
  </sheetData>
  <mergeCells count="2">
    <mergeCell ref="A1:C1"/>
    <mergeCell ref="A2:C2"/>
  </mergeCells>
  <phoneticPr fontId="3" type="noConversion"/>
  <pageMargins left="0.6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16</vt:i4>
      </vt:variant>
    </vt:vector>
  </HeadingPairs>
  <TitlesOfParts>
    <vt:vector size="16" baseType="lpstr">
      <vt:lpstr>หมายเหตุ</vt:lpstr>
      <vt:lpstr>รายรับจริงประกอบงบทดลอง</vt:lpstr>
      <vt:lpstr>รับ - จ่าย (2)</vt:lpstr>
      <vt:lpstr>รายงานกระแสเงินสด</vt:lpstr>
      <vt:lpstr>กระดาษทำการโอนงบ</vt:lpstr>
      <vt:lpstr>ประกอบงบใหม่</vt:lpstr>
      <vt:lpstr>รายจ่ายค้างจ่าย</vt:lpstr>
      <vt:lpstr>เฉพาะกิจ</vt:lpstr>
      <vt:lpstr>หมายเหตุ5</vt:lpstr>
      <vt:lpstr>กระดาษทำการจ่ายจากเงินสะสม</vt:lpstr>
      <vt:lpstr>กระดาษทำการ</vt:lpstr>
      <vt:lpstr>กระทบยอด</vt:lpstr>
      <vt:lpstr>กระดาษคงเหลือ</vt:lpstr>
      <vt:lpstr>เงินรับฝาก</vt:lpstr>
      <vt:lpstr>หลังปิด</vt:lpstr>
      <vt:lpstr>ก่อนปิด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 Home Used Only</dc:creator>
  <cp:lastModifiedBy>user</cp:lastModifiedBy>
  <cp:lastPrinted>2018-10-23T23:09:33Z</cp:lastPrinted>
  <dcterms:created xsi:type="dcterms:W3CDTF">2001-12-31T17:47:16Z</dcterms:created>
  <dcterms:modified xsi:type="dcterms:W3CDTF">2018-10-25T09:10:41Z</dcterms:modified>
</cp:coreProperties>
</file>